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Лот 4 Маймакса 2752рЛ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CG35" i="3" l="1"/>
  <c r="CI35" i="3" s="1"/>
  <c r="BZ32" i="3"/>
  <c r="CA32" i="3" s="1"/>
  <c r="CB32" i="3"/>
  <c r="CB16" i="3"/>
  <c r="CB18" i="3"/>
  <c r="CB19" i="3"/>
  <c r="CB20" i="3"/>
  <c r="CB21" i="3"/>
  <c r="CA21" i="3"/>
  <c r="CA18" i="3"/>
  <c r="CA17" i="3"/>
  <c r="BZ18" i="3"/>
  <c r="BZ17" i="3"/>
  <c r="CB17" i="3" s="1"/>
  <c r="BZ15" i="3"/>
  <c r="CB15" i="3" s="1"/>
  <c r="BY32" i="3"/>
  <c r="BX32" i="3"/>
  <c r="BX14" i="3"/>
  <c r="BY21" i="3"/>
  <c r="BY17" i="3"/>
  <c r="BY15" i="3"/>
  <c r="BX18" i="3"/>
  <c r="BY18" i="3" s="1"/>
  <c r="BX17" i="3"/>
  <c r="BX15" i="3"/>
  <c r="BX26" i="3"/>
  <c r="BX22" i="3"/>
  <c r="BX9" i="3"/>
  <c r="BZ26" i="3"/>
  <c r="BZ22" i="3"/>
  <c r="BZ9" i="3"/>
  <c r="CA15" i="3" l="1"/>
  <c r="BZ14" i="3"/>
  <c r="CB14" i="3"/>
  <c r="CF28" i="3"/>
  <c r="CF29" i="3"/>
  <c r="CF30" i="3"/>
  <c r="CF31" i="3"/>
  <c r="CF33" i="3"/>
  <c r="CF24" i="3"/>
  <c r="CF25" i="3"/>
  <c r="CF23" i="3"/>
  <c r="CF16" i="3"/>
  <c r="CF17" i="3"/>
  <c r="CF18" i="3"/>
  <c r="CF19" i="3"/>
  <c r="CF20" i="3"/>
  <c r="CF15" i="3"/>
  <c r="CE32" i="3"/>
  <c r="CF32" i="3" s="1"/>
  <c r="CE27" i="3"/>
  <c r="CF27" i="3" s="1"/>
  <c r="CF26" i="3" s="1"/>
  <c r="CE22" i="3"/>
  <c r="CE14" i="3"/>
  <c r="CF11" i="3"/>
  <c r="CF10" i="3"/>
  <c r="CF9" i="3" s="1"/>
  <c r="CE9" i="3"/>
  <c r="CE26" i="3" l="1"/>
  <c r="CF22" i="3"/>
  <c r="CF14" i="3"/>
  <c r="CF34" i="3" s="1"/>
  <c r="CF36" i="3" l="1"/>
  <c r="BS26" i="3"/>
  <c r="BU10" i="3" l="1"/>
  <c r="BV10" i="3"/>
  <c r="BY10" i="3"/>
  <c r="BW10" i="3"/>
  <c r="CA10" i="3"/>
  <c r="CB10" i="3"/>
  <c r="BU11" i="3"/>
  <c r="BV11" i="3"/>
  <c r="BY11" i="3"/>
  <c r="BW11" i="3"/>
  <c r="CA11" i="3"/>
  <c r="CB11" i="3"/>
  <c r="BU15" i="3"/>
  <c r="BV15" i="3"/>
  <c r="BW15" i="3"/>
  <c r="BU16" i="3"/>
  <c r="BV16" i="3"/>
  <c r="BY16" i="3"/>
  <c r="BW16" i="3"/>
  <c r="CA16" i="3"/>
  <c r="BU17" i="3"/>
  <c r="BV17" i="3"/>
  <c r="BW17" i="3"/>
  <c r="BU18" i="3"/>
  <c r="BV18" i="3"/>
  <c r="BW18" i="3"/>
  <c r="BU19" i="3"/>
  <c r="BV19" i="3"/>
  <c r="BY19" i="3"/>
  <c r="BW19" i="3"/>
  <c r="CA19" i="3"/>
  <c r="BU20" i="3"/>
  <c r="BV20" i="3"/>
  <c r="BY20" i="3"/>
  <c r="BW20" i="3"/>
  <c r="CA20" i="3"/>
  <c r="BU23" i="3"/>
  <c r="BV23" i="3"/>
  <c r="BY23" i="3"/>
  <c r="BW23" i="3"/>
  <c r="CA23" i="3"/>
  <c r="CB23" i="3"/>
  <c r="BU24" i="3"/>
  <c r="BV24" i="3"/>
  <c r="BY24" i="3"/>
  <c r="BW24" i="3"/>
  <c r="CA24" i="3"/>
  <c r="CB24" i="3"/>
  <c r="BU25" i="3"/>
  <c r="BV25" i="3"/>
  <c r="BY25" i="3"/>
  <c r="BW25" i="3"/>
  <c r="CA25" i="3"/>
  <c r="CB25" i="3"/>
  <c r="BU27" i="3"/>
  <c r="BV27" i="3"/>
  <c r="BY27" i="3"/>
  <c r="BW27" i="3"/>
  <c r="CA27" i="3"/>
  <c r="CB27" i="3"/>
  <c r="BU28" i="3"/>
  <c r="BV28" i="3"/>
  <c r="BY28" i="3"/>
  <c r="BW28" i="3"/>
  <c r="CA28" i="3"/>
  <c r="CB28" i="3"/>
  <c r="BU29" i="3"/>
  <c r="BV29" i="3"/>
  <c r="BY29" i="3"/>
  <c r="BW29" i="3"/>
  <c r="CA29" i="3"/>
  <c r="CB29" i="3"/>
  <c r="BU30" i="3"/>
  <c r="BV30" i="3"/>
  <c r="BY30" i="3"/>
  <c r="BW30" i="3"/>
  <c r="CA30" i="3"/>
  <c r="CB30" i="3"/>
  <c r="BU31" i="3"/>
  <c r="BV31" i="3"/>
  <c r="BY31" i="3"/>
  <c r="BW31" i="3"/>
  <c r="CA31" i="3"/>
  <c r="CB31" i="3"/>
  <c r="BV33" i="3"/>
  <c r="BW33" i="3"/>
  <c r="CA33" i="3"/>
  <c r="CB33" i="3"/>
  <c r="BT33" i="3"/>
  <c r="BT31" i="3"/>
  <c r="BT30" i="3"/>
  <c r="BT29" i="3"/>
  <c r="BT28" i="3"/>
  <c r="BT27" i="3"/>
  <c r="BT25" i="3"/>
  <c r="BT24" i="3"/>
  <c r="BT22" i="3" s="1"/>
  <c r="BT23" i="3"/>
  <c r="BT20" i="3"/>
  <c r="BT19" i="3"/>
  <c r="BT18" i="3"/>
  <c r="BT17" i="3"/>
  <c r="BT16" i="3"/>
  <c r="BT15" i="3"/>
  <c r="BT11" i="3"/>
  <c r="BT10" i="3"/>
  <c r="BS32" i="3"/>
  <c r="BU32" i="3" s="1"/>
  <c r="BS22" i="3"/>
  <c r="BS14" i="3"/>
  <c r="BS9" i="3"/>
  <c r="BY14" i="3" l="1"/>
  <c r="CA14" i="3"/>
  <c r="BT9" i="3"/>
  <c r="BT32" i="3"/>
  <c r="BV32" i="3"/>
  <c r="BW32" i="3"/>
  <c r="CB26" i="3"/>
  <c r="BW26" i="3"/>
  <c r="BV26" i="3"/>
  <c r="CB22" i="3"/>
  <c r="BW22" i="3"/>
  <c r="BV22" i="3"/>
  <c r="BW14" i="3"/>
  <c r="BV14" i="3"/>
  <c r="CB9" i="3"/>
  <c r="BW9" i="3"/>
  <c r="BV9" i="3"/>
  <c r="BT26" i="3"/>
  <c r="CA26" i="3"/>
  <c r="BY26" i="3"/>
  <c r="BU26" i="3"/>
  <c r="CA22" i="3"/>
  <c r="BY22" i="3"/>
  <c r="BU22" i="3"/>
  <c r="BU14" i="3"/>
  <c r="CA9" i="3"/>
  <c r="BY9" i="3"/>
  <c r="BU9" i="3"/>
  <c r="BO32" i="3"/>
  <c r="BP32" i="3" s="1"/>
  <c r="BP21" i="3"/>
  <c r="BO18" i="3"/>
  <c r="BP18" i="3" s="1"/>
  <c r="BO17" i="3"/>
  <c r="BP17" i="3" s="1"/>
  <c r="BO15" i="3"/>
  <c r="BP15" i="3" s="1"/>
  <c r="BN21" i="3"/>
  <c r="BM32" i="3"/>
  <c r="BN32" i="3" s="1"/>
  <c r="BM18" i="3"/>
  <c r="BN18" i="3" s="1"/>
  <c r="BM17" i="3"/>
  <c r="BN17" i="3" s="1"/>
  <c r="BM15" i="3"/>
  <c r="BN15" i="3" s="1"/>
  <c r="BM14" i="3" l="1"/>
  <c r="BO14" i="3"/>
  <c r="BO26" i="3"/>
  <c r="BO22" i="3"/>
  <c r="BO9" i="3"/>
  <c r="BM26" i="3"/>
  <c r="BM22" i="3"/>
  <c r="BM9" i="3"/>
  <c r="AU32" i="3" l="1"/>
  <c r="AW32" i="3" s="1"/>
  <c r="AW10" i="3"/>
  <c r="AX10" i="3"/>
  <c r="AY10" i="3"/>
  <c r="AZ10" i="3"/>
  <c r="BA10" i="3"/>
  <c r="BN10" i="3"/>
  <c r="BB10" i="3"/>
  <c r="BC10" i="3"/>
  <c r="BD10" i="3"/>
  <c r="BP10" i="3"/>
  <c r="BE10" i="3"/>
  <c r="BF10" i="3"/>
  <c r="BG10" i="3"/>
  <c r="BH10" i="3"/>
  <c r="BI10" i="3"/>
  <c r="BJ10" i="3"/>
  <c r="BK10" i="3"/>
  <c r="BL10" i="3"/>
  <c r="AW11" i="3"/>
  <c r="AX11" i="3"/>
  <c r="AY11" i="3"/>
  <c r="AZ11" i="3"/>
  <c r="BA11" i="3"/>
  <c r="BN11" i="3"/>
  <c r="BB11" i="3"/>
  <c r="BC11" i="3"/>
  <c r="BD11" i="3"/>
  <c r="BP11" i="3"/>
  <c r="BE11" i="3"/>
  <c r="BF11" i="3"/>
  <c r="BG11" i="3"/>
  <c r="BH11" i="3"/>
  <c r="BI11" i="3"/>
  <c r="BJ11" i="3"/>
  <c r="BK11" i="3"/>
  <c r="BL11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AW16" i="3"/>
  <c r="AX16" i="3"/>
  <c r="AY16" i="3"/>
  <c r="AZ16" i="3"/>
  <c r="BA16" i="3"/>
  <c r="BN16" i="3"/>
  <c r="BB16" i="3"/>
  <c r="BC16" i="3"/>
  <c r="BD16" i="3"/>
  <c r="BP16" i="3"/>
  <c r="BE16" i="3"/>
  <c r="BF16" i="3"/>
  <c r="BG16" i="3"/>
  <c r="BH16" i="3"/>
  <c r="BI16" i="3"/>
  <c r="BJ16" i="3"/>
  <c r="BK16" i="3"/>
  <c r="BL16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AW19" i="3"/>
  <c r="AX19" i="3"/>
  <c r="AY19" i="3"/>
  <c r="AZ19" i="3"/>
  <c r="BA19" i="3"/>
  <c r="BN19" i="3"/>
  <c r="BB19" i="3"/>
  <c r="BC19" i="3"/>
  <c r="BD19" i="3"/>
  <c r="BP19" i="3"/>
  <c r="BE19" i="3"/>
  <c r="BF19" i="3"/>
  <c r="BG19" i="3"/>
  <c r="BH19" i="3"/>
  <c r="BI19" i="3"/>
  <c r="BJ19" i="3"/>
  <c r="BK19" i="3"/>
  <c r="BL19" i="3"/>
  <c r="AW20" i="3"/>
  <c r="AX20" i="3"/>
  <c r="AY20" i="3"/>
  <c r="AZ20" i="3"/>
  <c r="BA20" i="3"/>
  <c r="BN20" i="3"/>
  <c r="BB20" i="3"/>
  <c r="BC20" i="3"/>
  <c r="BD20" i="3"/>
  <c r="BP20" i="3"/>
  <c r="BE20" i="3"/>
  <c r="BF20" i="3"/>
  <c r="BG20" i="3"/>
  <c r="BH20" i="3"/>
  <c r="BI20" i="3"/>
  <c r="BJ20" i="3"/>
  <c r="BK20" i="3"/>
  <c r="BL20" i="3"/>
  <c r="AW23" i="3"/>
  <c r="AX23" i="3"/>
  <c r="AY23" i="3"/>
  <c r="AZ23" i="3"/>
  <c r="BA23" i="3"/>
  <c r="BN23" i="3"/>
  <c r="BB23" i="3"/>
  <c r="BC23" i="3"/>
  <c r="BD23" i="3"/>
  <c r="BP23" i="3"/>
  <c r="BE23" i="3"/>
  <c r="BF23" i="3"/>
  <c r="BG23" i="3"/>
  <c r="BH23" i="3"/>
  <c r="BI23" i="3"/>
  <c r="BJ23" i="3"/>
  <c r="BK23" i="3"/>
  <c r="BL23" i="3"/>
  <c r="AW24" i="3"/>
  <c r="AX24" i="3"/>
  <c r="AY24" i="3"/>
  <c r="AZ24" i="3"/>
  <c r="BA24" i="3"/>
  <c r="BN24" i="3"/>
  <c r="BB24" i="3"/>
  <c r="BC24" i="3"/>
  <c r="BD24" i="3"/>
  <c r="BP24" i="3"/>
  <c r="BE24" i="3"/>
  <c r="BF24" i="3"/>
  <c r="BG24" i="3"/>
  <c r="BH24" i="3"/>
  <c r="BI24" i="3"/>
  <c r="BJ24" i="3"/>
  <c r="BK24" i="3"/>
  <c r="BL24" i="3"/>
  <c r="AW25" i="3"/>
  <c r="AX25" i="3"/>
  <c r="AY25" i="3"/>
  <c r="AZ25" i="3"/>
  <c r="BA25" i="3"/>
  <c r="BN25" i="3"/>
  <c r="BB25" i="3"/>
  <c r="BC25" i="3"/>
  <c r="BD25" i="3"/>
  <c r="BP25" i="3"/>
  <c r="BE25" i="3"/>
  <c r="BF25" i="3"/>
  <c r="BG25" i="3"/>
  <c r="BH25" i="3"/>
  <c r="BI25" i="3"/>
  <c r="BJ25" i="3"/>
  <c r="BK25" i="3"/>
  <c r="BL25" i="3"/>
  <c r="AW27" i="3"/>
  <c r="AX27" i="3"/>
  <c r="AY27" i="3"/>
  <c r="AZ27" i="3"/>
  <c r="BA27" i="3"/>
  <c r="BN27" i="3"/>
  <c r="BB27" i="3"/>
  <c r="BC27" i="3"/>
  <c r="BD27" i="3"/>
  <c r="BP27" i="3"/>
  <c r="BE27" i="3"/>
  <c r="BF27" i="3"/>
  <c r="BG27" i="3"/>
  <c r="BH27" i="3"/>
  <c r="BI27" i="3"/>
  <c r="BJ27" i="3"/>
  <c r="BK27" i="3"/>
  <c r="BL27" i="3"/>
  <c r="AW28" i="3"/>
  <c r="AX28" i="3"/>
  <c r="AY28" i="3"/>
  <c r="AZ28" i="3"/>
  <c r="BA28" i="3"/>
  <c r="BN28" i="3"/>
  <c r="BB28" i="3"/>
  <c r="BC28" i="3"/>
  <c r="BD28" i="3"/>
  <c r="BP28" i="3"/>
  <c r="BE28" i="3"/>
  <c r="BF28" i="3"/>
  <c r="BG28" i="3"/>
  <c r="BH28" i="3"/>
  <c r="BI28" i="3"/>
  <c r="BJ28" i="3"/>
  <c r="BK28" i="3"/>
  <c r="BL28" i="3"/>
  <c r="AW29" i="3"/>
  <c r="AX29" i="3"/>
  <c r="AY29" i="3"/>
  <c r="AZ29" i="3"/>
  <c r="BA29" i="3"/>
  <c r="BN29" i="3"/>
  <c r="BB29" i="3"/>
  <c r="BC29" i="3"/>
  <c r="BD29" i="3"/>
  <c r="BP29" i="3"/>
  <c r="BE29" i="3"/>
  <c r="BF29" i="3"/>
  <c r="BG29" i="3"/>
  <c r="BH29" i="3"/>
  <c r="BI29" i="3"/>
  <c r="BJ29" i="3"/>
  <c r="BK29" i="3"/>
  <c r="BL29" i="3"/>
  <c r="AW30" i="3"/>
  <c r="AX30" i="3"/>
  <c r="AY30" i="3"/>
  <c r="AZ30" i="3"/>
  <c r="BA30" i="3"/>
  <c r="BN30" i="3"/>
  <c r="BB30" i="3"/>
  <c r="BC30" i="3"/>
  <c r="BD30" i="3"/>
  <c r="BP30" i="3"/>
  <c r="BE30" i="3"/>
  <c r="BF30" i="3"/>
  <c r="BG30" i="3"/>
  <c r="BH30" i="3"/>
  <c r="BI30" i="3"/>
  <c r="BJ30" i="3"/>
  <c r="BK30" i="3"/>
  <c r="BL30" i="3"/>
  <c r="AW31" i="3"/>
  <c r="AX31" i="3"/>
  <c r="AY31" i="3"/>
  <c r="AZ31" i="3"/>
  <c r="BA31" i="3"/>
  <c r="BN31" i="3"/>
  <c r="BB31" i="3"/>
  <c r="BC31" i="3"/>
  <c r="BD31" i="3"/>
  <c r="BP31" i="3"/>
  <c r="BE31" i="3"/>
  <c r="BF31" i="3"/>
  <c r="BG31" i="3"/>
  <c r="BH31" i="3"/>
  <c r="BI31" i="3"/>
  <c r="BJ31" i="3"/>
  <c r="BK31" i="3"/>
  <c r="BL31" i="3"/>
  <c r="AX32" i="3"/>
  <c r="AZ32" i="3"/>
  <c r="BB32" i="3"/>
  <c r="BD32" i="3"/>
  <c r="BF32" i="3"/>
  <c r="BH32" i="3"/>
  <c r="BJ32" i="3"/>
  <c r="BL32" i="3"/>
  <c r="AW33" i="3"/>
  <c r="AX33" i="3"/>
  <c r="AY33" i="3"/>
  <c r="AZ33" i="3"/>
  <c r="BA33" i="3"/>
  <c r="BN33" i="3"/>
  <c r="BB33" i="3"/>
  <c r="BE33" i="3"/>
  <c r="BF33" i="3"/>
  <c r="BG33" i="3"/>
  <c r="BH33" i="3"/>
  <c r="BI33" i="3"/>
  <c r="BJ33" i="3"/>
  <c r="BL33" i="3"/>
  <c r="AQ32" i="3"/>
  <c r="AM32" i="3"/>
  <c r="AI32" i="3"/>
  <c r="AG32" i="3"/>
  <c r="AD32" i="3"/>
  <c r="Q32" i="3"/>
  <c r="C32" i="3"/>
  <c r="BK32" i="3" l="1"/>
  <c r="BI32" i="3"/>
  <c r="BG32" i="3"/>
  <c r="BE32" i="3"/>
  <c r="BC32" i="3"/>
  <c r="BA32" i="3"/>
  <c r="AY32" i="3"/>
  <c r="BV34" i="3"/>
  <c r="BV36" i="3" s="1"/>
  <c r="BW34" i="3"/>
  <c r="BW36" i="3" s="1"/>
  <c r="CB34" i="3"/>
  <c r="BU34" i="3"/>
  <c r="BU36" i="3" s="1"/>
  <c r="BY34" i="3"/>
  <c r="BY36" i="3" s="1"/>
  <c r="CA34" i="3"/>
  <c r="CA36" i="3" s="1"/>
  <c r="BP14" i="3"/>
  <c r="BN14" i="3"/>
  <c r="BK26" i="3"/>
  <c r="BI26" i="3"/>
  <c r="BG26" i="3"/>
  <c r="BE26" i="3"/>
  <c r="BD26" i="3"/>
  <c r="BB26" i="3"/>
  <c r="BA26" i="3"/>
  <c r="AY26" i="3"/>
  <c r="AW26" i="3"/>
  <c r="BK22" i="3"/>
  <c r="BI22" i="3"/>
  <c r="BG22" i="3"/>
  <c r="BE22" i="3"/>
  <c r="BD22" i="3"/>
  <c r="BB22" i="3"/>
  <c r="BA22" i="3"/>
  <c r="AY22" i="3"/>
  <c r="AW22" i="3"/>
  <c r="BK14" i="3"/>
  <c r="BI14" i="3"/>
  <c r="BG14" i="3"/>
  <c r="BE14" i="3"/>
  <c r="BD14" i="3"/>
  <c r="BB14" i="3"/>
  <c r="BA14" i="3"/>
  <c r="AY14" i="3"/>
  <c r="AW14" i="3"/>
  <c r="BK9" i="3"/>
  <c r="BI9" i="3"/>
  <c r="BG9" i="3"/>
  <c r="BE9" i="3"/>
  <c r="BD9" i="3"/>
  <c r="BB9" i="3"/>
  <c r="BA9" i="3"/>
  <c r="AY9" i="3"/>
  <c r="AW9" i="3"/>
  <c r="BL26" i="3"/>
  <c r="BJ26" i="3"/>
  <c r="BH26" i="3"/>
  <c r="BF26" i="3"/>
  <c r="BP26" i="3"/>
  <c r="BC26" i="3"/>
  <c r="BN26" i="3"/>
  <c r="AZ26" i="3"/>
  <c r="AX26" i="3"/>
  <c r="BL22" i="3"/>
  <c r="BJ22" i="3"/>
  <c r="BH22" i="3"/>
  <c r="BF22" i="3"/>
  <c r="BP22" i="3"/>
  <c r="BC22" i="3"/>
  <c r="BN22" i="3"/>
  <c r="AZ22" i="3"/>
  <c r="AX22" i="3"/>
  <c r="BL14" i="3"/>
  <c r="BJ14" i="3"/>
  <c r="BH14" i="3"/>
  <c r="BF14" i="3"/>
  <c r="BC14" i="3"/>
  <c r="AZ14" i="3"/>
  <c r="AX14" i="3"/>
  <c r="BL9" i="3"/>
  <c r="BJ9" i="3"/>
  <c r="BH9" i="3"/>
  <c r="BF9" i="3"/>
  <c r="BP9" i="3"/>
  <c r="BC9" i="3"/>
  <c r="BN9" i="3"/>
  <c r="AZ9" i="3"/>
  <c r="AX9" i="3"/>
  <c r="AN20" i="3"/>
  <c r="AN32" i="3"/>
  <c r="AM16" i="3"/>
  <c r="AN16" i="3" s="1"/>
  <c r="AM15" i="3"/>
  <c r="AN15" i="3" s="1"/>
  <c r="AM13" i="3"/>
  <c r="AL32" i="3"/>
  <c r="AK20" i="3"/>
  <c r="AL20" i="3"/>
  <c r="AJ20" i="3"/>
  <c r="AI16" i="3"/>
  <c r="AL16" i="3" s="1"/>
  <c r="AI15" i="3"/>
  <c r="AL15" i="3" s="1"/>
  <c r="AI13" i="3"/>
  <c r="AL13" i="3" s="1"/>
  <c r="AG16" i="3"/>
  <c r="AH16" i="3" s="1"/>
  <c r="AG13" i="3"/>
  <c r="AH32" i="3"/>
  <c r="AH20" i="3"/>
  <c r="AG15" i="3"/>
  <c r="AH15" i="3" s="1"/>
  <c r="AE32" i="3"/>
  <c r="AD16" i="3"/>
  <c r="AD15" i="3"/>
  <c r="AE15" i="3" s="1"/>
  <c r="AD13" i="3"/>
  <c r="AF13" i="3" s="1"/>
  <c r="AD26" i="3"/>
  <c r="AD22" i="3"/>
  <c r="AD9" i="3"/>
  <c r="AG26" i="3"/>
  <c r="AG22" i="3"/>
  <c r="AG9" i="3"/>
  <c r="AI26" i="3"/>
  <c r="AI22" i="3"/>
  <c r="AI9" i="3"/>
  <c r="AM26" i="3"/>
  <c r="AM22" i="3"/>
  <c r="AM9" i="3"/>
  <c r="AC33" i="3"/>
  <c r="T33" i="3"/>
  <c r="Y10" i="3"/>
  <c r="AE10" i="3"/>
  <c r="AK10" i="3"/>
  <c r="AL10" i="3"/>
  <c r="AF10" i="3"/>
  <c r="Z10" i="3"/>
  <c r="AA10" i="3"/>
  <c r="AB10" i="3"/>
  <c r="AC10" i="3"/>
  <c r="Y11" i="3"/>
  <c r="AE11" i="3"/>
  <c r="AK11" i="3"/>
  <c r="AL11" i="3"/>
  <c r="AF11" i="3"/>
  <c r="Z11" i="3"/>
  <c r="AA11" i="3"/>
  <c r="AB11" i="3"/>
  <c r="AC11" i="3"/>
  <c r="Y13" i="3"/>
  <c r="Z13" i="3"/>
  <c r="AA13" i="3"/>
  <c r="AB13" i="3"/>
  <c r="AC13" i="3"/>
  <c r="Y14" i="3"/>
  <c r="AE14" i="3"/>
  <c r="AK14" i="3"/>
  <c r="AL14" i="3"/>
  <c r="AF14" i="3"/>
  <c r="Z14" i="3"/>
  <c r="AA14" i="3"/>
  <c r="AB14" i="3"/>
  <c r="AC14" i="3"/>
  <c r="Y15" i="3"/>
  <c r="Z15" i="3"/>
  <c r="AA15" i="3"/>
  <c r="AB15" i="3"/>
  <c r="AC15" i="3"/>
  <c r="Y16" i="3"/>
  <c r="Z16" i="3"/>
  <c r="AA16" i="3"/>
  <c r="AB16" i="3"/>
  <c r="AC16" i="3"/>
  <c r="Y17" i="3"/>
  <c r="AE17" i="3"/>
  <c r="AK17" i="3"/>
  <c r="AL17" i="3"/>
  <c r="AF17" i="3"/>
  <c r="Z17" i="3"/>
  <c r="AA17" i="3"/>
  <c r="AB17" i="3"/>
  <c r="AC17" i="3"/>
  <c r="Y18" i="3"/>
  <c r="AE18" i="3"/>
  <c r="AK18" i="3"/>
  <c r="AL18" i="3"/>
  <c r="AF18" i="3"/>
  <c r="Z18" i="3"/>
  <c r="AA18" i="3"/>
  <c r="AB18" i="3"/>
  <c r="AC18" i="3"/>
  <c r="Y19" i="3"/>
  <c r="AE19" i="3"/>
  <c r="AK19" i="3"/>
  <c r="AL19" i="3"/>
  <c r="AF19" i="3"/>
  <c r="Z19" i="3"/>
  <c r="AA19" i="3"/>
  <c r="AB19" i="3"/>
  <c r="AC19" i="3"/>
  <c r="Y23" i="3"/>
  <c r="AE23" i="3"/>
  <c r="AK23" i="3"/>
  <c r="AL23" i="3"/>
  <c r="AF23" i="3"/>
  <c r="Z23" i="3"/>
  <c r="AA23" i="3"/>
  <c r="AB23" i="3"/>
  <c r="AC23" i="3"/>
  <c r="Y24" i="3"/>
  <c r="AE24" i="3"/>
  <c r="AK24" i="3"/>
  <c r="AL24" i="3"/>
  <c r="AF24" i="3"/>
  <c r="Z24" i="3"/>
  <c r="AA24" i="3"/>
  <c r="AB24" i="3"/>
  <c r="AC24" i="3"/>
  <c r="Y25" i="3"/>
  <c r="AE25" i="3"/>
  <c r="AK25" i="3"/>
  <c r="AL25" i="3"/>
  <c r="AF25" i="3"/>
  <c r="Z25" i="3"/>
  <c r="AA25" i="3"/>
  <c r="AB25" i="3"/>
  <c r="AC25" i="3"/>
  <c r="Y27" i="3"/>
  <c r="AE27" i="3"/>
  <c r="AK27" i="3"/>
  <c r="AL27" i="3"/>
  <c r="AF27" i="3"/>
  <c r="Z27" i="3"/>
  <c r="AA27" i="3"/>
  <c r="AB27" i="3"/>
  <c r="AC27" i="3"/>
  <c r="Y28" i="3"/>
  <c r="AE28" i="3"/>
  <c r="AK28" i="3"/>
  <c r="AL28" i="3"/>
  <c r="AF28" i="3"/>
  <c r="Z28" i="3"/>
  <c r="AA28" i="3"/>
  <c r="AB28" i="3"/>
  <c r="AC28" i="3"/>
  <c r="Y29" i="3"/>
  <c r="AE29" i="3"/>
  <c r="AK29" i="3"/>
  <c r="AL29" i="3"/>
  <c r="AF29" i="3"/>
  <c r="Z29" i="3"/>
  <c r="AA29" i="3"/>
  <c r="AB29" i="3"/>
  <c r="AC29" i="3"/>
  <c r="Y30" i="3"/>
  <c r="AE30" i="3"/>
  <c r="AK30" i="3"/>
  <c r="AL30" i="3"/>
  <c r="AF30" i="3"/>
  <c r="Z30" i="3"/>
  <c r="AA30" i="3"/>
  <c r="AB30" i="3"/>
  <c r="AC30" i="3"/>
  <c r="Y31" i="3"/>
  <c r="AE31" i="3"/>
  <c r="AK31" i="3"/>
  <c r="AL31" i="3"/>
  <c r="AF31" i="3"/>
  <c r="Z31" i="3"/>
  <c r="AA31" i="3"/>
  <c r="AB31" i="3"/>
  <c r="AC31" i="3"/>
  <c r="L33" i="3"/>
  <c r="K33" i="3"/>
  <c r="M10" i="3"/>
  <c r="N10" i="3"/>
  <c r="M11" i="3"/>
  <c r="N11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3" i="3"/>
  <c r="L23" i="3"/>
  <c r="M23" i="3"/>
  <c r="N23" i="3"/>
  <c r="K24" i="3"/>
  <c r="L24" i="3"/>
  <c r="M24" i="3"/>
  <c r="N24" i="3"/>
  <c r="K25" i="3"/>
  <c r="L25" i="3"/>
  <c r="M25" i="3"/>
  <c r="N25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CB36" i="3" l="1"/>
  <c r="AE13" i="3"/>
  <c r="AX34" i="3"/>
  <c r="AX36" i="3" s="1"/>
  <c r="BN34" i="3"/>
  <c r="BN36" i="3" s="1"/>
  <c r="BP34" i="3"/>
  <c r="BP36" i="3" s="1"/>
  <c r="BH34" i="3"/>
  <c r="BH36" i="3" s="1"/>
  <c r="BL34" i="3"/>
  <c r="BL36" i="3" s="1"/>
  <c r="AW34" i="3"/>
  <c r="AW36" i="3" s="1"/>
  <c r="BA34" i="3"/>
  <c r="BA36" i="3" s="1"/>
  <c r="BD34" i="3"/>
  <c r="BD36" i="3" s="1"/>
  <c r="BG34" i="3"/>
  <c r="BG36" i="3" s="1"/>
  <c r="BK34" i="3"/>
  <c r="BK36" i="3" s="1"/>
  <c r="AZ34" i="3"/>
  <c r="AZ36" i="3" s="1"/>
  <c r="BC34" i="3"/>
  <c r="BC36" i="3" s="1"/>
  <c r="BF34" i="3"/>
  <c r="BF36" i="3" s="1"/>
  <c r="BJ34" i="3"/>
  <c r="BJ36" i="3" s="1"/>
  <c r="AY34" i="3"/>
  <c r="AY36" i="3" s="1"/>
  <c r="BB34" i="3"/>
  <c r="BB36" i="3" s="1"/>
  <c r="BE34" i="3"/>
  <c r="BE36" i="3" s="1"/>
  <c r="BI34" i="3"/>
  <c r="BI36" i="3" s="1"/>
  <c r="AI12" i="3"/>
  <c r="AK15" i="3"/>
  <c r="AK32" i="3"/>
  <c r="AF32" i="3"/>
  <c r="AM12" i="3"/>
  <c r="AK13" i="3"/>
  <c r="AK16" i="3"/>
  <c r="AL12" i="3"/>
  <c r="AF15" i="3"/>
  <c r="AD12" i="3"/>
  <c r="AE16" i="3"/>
  <c r="AE12" i="3" s="1"/>
  <c r="AJ15" i="3"/>
  <c r="AJ16" i="3"/>
  <c r="AJ13" i="3"/>
  <c r="AJ32" i="3"/>
  <c r="AN13" i="3"/>
  <c r="AF16" i="3"/>
  <c r="AG12" i="3"/>
  <c r="AH13" i="3"/>
  <c r="AB9" i="3"/>
  <c r="AL9" i="3"/>
  <c r="AC22" i="3"/>
  <c r="AC12" i="3"/>
  <c r="AA9" i="3"/>
  <c r="AA22" i="3"/>
  <c r="Z22" i="3"/>
  <c r="AF22" i="3"/>
  <c r="AK9" i="3"/>
  <c r="AE22" i="3"/>
  <c r="Y22" i="3"/>
  <c r="Y12" i="3"/>
  <c r="M26" i="3"/>
  <c r="Z26" i="3"/>
  <c r="AE26" i="3"/>
  <c r="AC9" i="3"/>
  <c r="AF9" i="3"/>
  <c r="Y9" i="3"/>
  <c r="AB12" i="3"/>
  <c r="K22" i="3"/>
  <c r="AK22" i="3"/>
  <c r="AB22" i="3"/>
  <c r="AL22" i="3"/>
  <c r="Z12" i="3"/>
  <c r="AA12" i="3"/>
  <c r="N26" i="3"/>
  <c r="AC26" i="3"/>
  <c r="AF26" i="3"/>
  <c r="Y26" i="3"/>
  <c r="AA26" i="3"/>
  <c r="AK26" i="3"/>
  <c r="AB26" i="3"/>
  <c r="AL26" i="3"/>
  <c r="Z9" i="3"/>
  <c r="AE9" i="3"/>
  <c r="M9" i="3"/>
  <c r="N22" i="3"/>
  <c r="N12" i="3"/>
  <c r="N9" i="3"/>
  <c r="M22" i="3"/>
  <c r="M12" i="3"/>
  <c r="L26" i="3"/>
  <c r="L22" i="3"/>
  <c r="L12" i="3"/>
  <c r="L9" i="3"/>
  <c r="K26" i="3"/>
  <c r="K12" i="3"/>
  <c r="K9" i="3"/>
  <c r="AV11" i="3"/>
  <c r="AV10" i="3"/>
  <c r="AR11" i="3"/>
  <c r="AR10" i="3"/>
  <c r="AN10" i="3"/>
  <c r="S10" i="3"/>
  <c r="T10" i="3"/>
  <c r="AJ10" i="3"/>
  <c r="U10" i="3"/>
  <c r="V10" i="3"/>
  <c r="AH10" i="3"/>
  <c r="W10" i="3"/>
  <c r="X10" i="3"/>
  <c r="AN11" i="3"/>
  <c r="S11" i="3"/>
  <c r="T11" i="3"/>
  <c r="AJ11" i="3"/>
  <c r="U11" i="3"/>
  <c r="V11" i="3"/>
  <c r="AH11" i="3"/>
  <c r="W11" i="3"/>
  <c r="X11" i="3"/>
  <c r="R11" i="3"/>
  <c r="R10" i="3"/>
  <c r="E10" i="3"/>
  <c r="F10" i="3"/>
  <c r="G10" i="3"/>
  <c r="H10" i="3"/>
  <c r="I10" i="3"/>
  <c r="J10" i="3"/>
  <c r="E11" i="3"/>
  <c r="F11" i="3"/>
  <c r="G11" i="3"/>
  <c r="H11" i="3"/>
  <c r="I11" i="3"/>
  <c r="J11" i="3"/>
  <c r="D11" i="3"/>
  <c r="D10" i="3"/>
  <c r="AU9" i="3"/>
  <c r="AQ9" i="3"/>
  <c r="Q9" i="3"/>
  <c r="C9" i="3"/>
  <c r="AK12" i="3" l="1"/>
  <c r="AF12" i="3"/>
  <c r="AF34" i="3" s="1"/>
  <c r="AF36" i="3" s="1"/>
  <c r="S9" i="3"/>
  <c r="W9" i="3"/>
  <c r="V9" i="3"/>
  <c r="AJ9" i="3"/>
  <c r="AK34" i="3"/>
  <c r="AK36" i="3" s="1"/>
  <c r="AA32" i="3"/>
  <c r="AA34" i="3" s="1"/>
  <c r="AA36" i="3" s="1"/>
  <c r="AL34" i="3"/>
  <c r="AL36" i="3" s="1"/>
  <c r="AB32" i="3"/>
  <c r="AB34" i="3" s="1"/>
  <c r="AB36" i="3" s="1"/>
  <c r="Z32" i="3"/>
  <c r="Z34" i="3" s="1"/>
  <c r="Z36" i="3" s="1"/>
  <c r="Y32" i="3"/>
  <c r="Y34" i="3" s="1"/>
  <c r="Y36" i="3" s="1"/>
  <c r="AC32" i="3"/>
  <c r="AC34" i="3" s="1"/>
  <c r="AC36" i="3" s="1"/>
  <c r="AE34" i="3"/>
  <c r="AE36" i="3" s="1"/>
  <c r="R9" i="3"/>
  <c r="N32" i="3"/>
  <c r="N34" i="3" s="1"/>
  <c r="N36" i="3" s="1"/>
  <c r="K32" i="3"/>
  <c r="L32" i="3"/>
  <c r="L34" i="3" s="1"/>
  <c r="L36" i="3" s="1"/>
  <c r="M32" i="3"/>
  <c r="M34" i="3" s="1"/>
  <c r="M36" i="3" s="1"/>
  <c r="D9" i="3"/>
  <c r="I9" i="3"/>
  <c r="E9" i="3"/>
  <c r="G9" i="3"/>
  <c r="AH9" i="3"/>
  <c r="T9" i="3"/>
  <c r="X9" i="3"/>
  <c r="U9" i="3"/>
  <c r="AN9" i="3"/>
  <c r="J9" i="3"/>
  <c r="F9" i="3"/>
  <c r="H9" i="3"/>
  <c r="AR9" i="3"/>
  <c r="K34" i="3" l="1"/>
  <c r="K36" i="3" s="1"/>
  <c r="AV33" i="3" l="1"/>
  <c r="AV15" i="3"/>
  <c r="AV16" i="3"/>
  <c r="AV17" i="3"/>
  <c r="AV18" i="3"/>
  <c r="AV19" i="3"/>
  <c r="AV20" i="3"/>
  <c r="AV23" i="3"/>
  <c r="AV24" i="3"/>
  <c r="AV25" i="3"/>
  <c r="AV27" i="3"/>
  <c r="AV28" i="3"/>
  <c r="AV29" i="3"/>
  <c r="AV30" i="3"/>
  <c r="AV31" i="3"/>
  <c r="AV32" i="3"/>
  <c r="AV9" i="3" l="1"/>
  <c r="AV22" i="3"/>
  <c r="AV26" i="3"/>
  <c r="AV14" i="3"/>
  <c r="AV34" i="3" l="1"/>
  <c r="AV36" i="3" s="1"/>
  <c r="AU26" i="3" l="1"/>
  <c r="AU22" i="3"/>
  <c r="AU14" i="3"/>
  <c r="I13" i="3" l="1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3" i="3"/>
  <c r="J23" i="3"/>
  <c r="I24" i="3"/>
  <c r="J24" i="3"/>
  <c r="I25" i="3"/>
  <c r="J25" i="3"/>
  <c r="I27" i="3"/>
  <c r="J27" i="3"/>
  <c r="I28" i="3"/>
  <c r="J28" i="3"/>
  <c r="I29" i="3"/>
  <c r="J29" i="3"/>
  <c r="I30" i="3"/>
  <c r="J30" i="3"/>
  <c r="I31" i="3"/>
  <c r="J31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3" i="3"/>
  <c r="H23" i="3"/>
  <c r="G24" i="3"/>
  <c r="H24" i="3"/>
  <c r="G25" i="3"/>
  <c r="H25" i="3"/>
  <c r="G27" i="3"/>
  <c r="H27" i="3"/>
  <c r="G28" i="3"/>
  <c r="H28" i="3"/>
  <c r="G29" i="3"/>
  <c r="H29" i="3"/>
  <c r="G30" i="3"/>
  <c r="H30" i="3"/>
  <c r="G31" i="3"/>
  <c r="H31" i="3"/>
  <c r="G32" i="3" l="1"/>
  <c r="J32" i="3"/>
  <c r="H32" i="3"/>
  <c r="I32" i="3"/>
  <c r="I12" i="3"/>
  <c r="J26" i="3"/>
  <c r="J12" i="3"/>
  <c r="I22" i="3"/>
  <c r="I26" i="3"/>
  <c r="J22" i="3"/>
  <c r="H26" i="3"/>
  <c r="H22" i="3"/>
  <c r="H12" i="3"/>
  <c r="G22" i="3"/>
  <c r="G12" i="3"/>
  <c r="G26" i="3"/>
  <c r="H34" i="3" l="1"/>
  <c r="J34" i="3"/>
  <c r="G34" i="3"/>
  <c r="I34" i="3"/>
  <c r="AR31" i="3" l="1"/>
  <c r="AR30" i="3"/>
  <c r="AR29" i="3"/>
  <c r="AR28" i="3"/>
  <c r="AR27" i="3"/>
  <c r="AR25" i="3"/>
  <c r="AR24" i="3"/>
  <c r="AR23" i="3"/>
  <c r="AR21" i="3"/>
  <c r="AR20" i="3"/>
  <c r="AR19" i="3"/>
  <c r="AR18" i="3"/>
  <c r="AR17" i="3"/>
  <c r="AR16" i="3"/>
  <c r="AR15" i="3"/>
  <c r="AR22" i="3" l="1"/>
  <c r="AR26" i="3"/>
  <c r="AR14" i="3"/>
  <c r="AQ26" i="3" l="1"/>
  <c r="AQ22" i="3"/>
  <c r="AQ14" i="3"/>
  <c r="AR32" i="3" l="1"/>
  <c r="AR34" i="3" l="1"/>
  <c r="AR36" i="3" s="1"/>
  <c r="X32" i="3"/>
  <c r="X31" i="3"/>
  <c r="X30" i="3"/>
  <c r="X29" i="3"/>
  <c r="X28" i="3"/>
  <c r="X27" i="3"/>
  <c r="X25" i="3"/>
  <c r="X24" i="3"/>
  <c r="X23" i="3"/>
  <c r="X19" i="3"/>
  <c r="X18" i="3"/>
  <c r="X17" i="3"/>
  <c r="X16" i="3"/>
  <c r="X15" i="3"/>
  <c r="X14" i="3"/>
  <c r="X13" i="3"/>
  <c r="W32" i="3"/>
  <c r="W31" i="3"/>
  <c r="W30" i="3"/>
  <c r="W29" i="3"/>
  <c r="W28" i="3"/>
  <c r="W27" i="3"/>
  <c r="W25" i="3"/>
  <c r="W24" i="3"/>
  <c r="W23" i="3"/>
  <c r="W19" i="3"/>
  <c r="W18" i="3"/>
  <c r="W17" i="3"/>
  <c r="W16" i="3"/>
  <c r="W15" i="3"/>
  <c r="W14" i="3"/>
  <c r="W13" i="3"/>
  <c r="AH31" i="3"/>
  <c r="AH30" i="3"/>
  <c r="AH29" i="3"/>
  <c r="AH28" i="3"/>
  <c r="AH27" i="3"/>
  <c r="AH25" i="3"/>
  <c r="AH24" i="3"/>
  <c r="AH23" i="3"/>
  <c r="AH19" i="3"/>
  <c r="AH18" i="3"/>
  <c r="AH17" i="3"/>
  <c r="AH14" i="3"/>
  <c r="V32" i="3"/>
  <c r="V31" i="3"/>
  <c r="V30" i="3"/>
  <c r="V29" i="3"/>
  <c r="V28" i="3"/>
  <c r="V27" i="3"/>
  <c r="V25" i="3"/>
  <c r="V24" i="3"/>
  <c r="V23" i="3"/>
  <c r="V19" i="3"/>
  <c r="V18" i="3"/>
  <c r="V17" i="3"/>
  <c r="V16" i="3"/>
  <c r="V15" i="3"/>
  <c r="V14" i="3"/>
  <c r="V13" i="3"/>
  <c r="AH12" i="3" l="1"/>
  <c r="X26" i="3"/>
  <c r="V26" i="3"/>
  <c r="AH26" i="3"/>
  <c r="W26" i="3"/>
  <c r="W22" i="3"/>
  <c r="W12" i="3"/>
  <c r="X12" i="3"/>
  <c r="V22" i="3"/>
  <c r="AH22" i="3"/>
  <c r="X22" i="3"/>
  <c r="V12" i="3"/>
  <c r="S13" i="3"/>
  <c r="T13" i="3"/>
  <c r="U13" i="3"/>
  <c r="AN14" i="3"/>
  <c r="S14" i="3"/>
  <c r="T14" i="3"/>
  <c r="AJ14" i="3"/>
  <c r="U14" i="3"/>
  <c r="S15" i="3"/>
  <c r="T15" i="3"/>
  <c r="U15" i="3"/>
  <c r="S16" i="3"/>
  <c r="T16" i="3"/>
  <c r="U16" i="3"/>
  <c r="AN17" i="3"/>
  <c r="S17" i="3"/>
  <c r="T17" i="3"/>
  <c r="AJ17" i="3"/>
  <c r="U17" i="3"/>
  <c r="AN18" i="3"/>
  <c r="S18" i="3"/>
  <c r="T18" i="3"/>
  <c r="AJ18" i="3"/>
  <c r="U18" i="3"/>
  <c r="AN19" i="3"/>
  <c r="S19" i="3"/>
  <c r="T19" i="3"/>
  <c r="AJ19" i="3"/>
  <c r="U19" i="3"/>
  <c r="AN23" i="3"/>
  <c r="S23" i="3"/>
  <c r="T23" i="3"/>
  <c r="AJ23" i="3"/>
  <c r="U23" i="3"/>
  <c r="AN24" i="3"/>
  <c r="S24" i="3"/>
  <c r="T24" i="3"/>
  <c r="AJ24" i="3"/>
  <c r="U24" i="3"/>
  <c r="AN25" i="3"/>
  <c r="S25" i="3"/>
  <c r="T25" i="3"/>
  <c r="AJ25" i="3"/>
  <c r="U25" i="3"/>
  <c r="AN27" i="3"/>
  <c r="S27" i="3"/>
  <c r="T27" i="3"/>
  <c r="AJ27" i="3"/>
  <c r="U27" i="3"/>
  <c r="AN28" i="3"/>
  <c r="S28" i="3"/>
  <c r="T28" i="3"/>
  <c r="AJ28" i="3"/>
  <c r="U28" i="3"/>
  <c r="AN29" i="3"/>
  <c r="S29" i="3"/>
  <c r="T29" i="3"/>
  <c r="AJ29" i="3"/>
  <c r="U29" i="3"/>
  <c r="AN30" i="3"/>
  <c r="S30" i="3"/>
  <c r="T30" i="3"/>
  <c r="AJ30" i="3"/>
  <c r="U30" i="3"/>
  <c r="AN31" i="3"/>
  <c r="S31" i="3"/>
  <c r="T31" i="3"/>
  <c r="AJ31" i="3"/>
  <c r="U31" i="3"/>
  <c r="S32" i="3"/>
  <c r="T32" i="3"/>
  <c r="U32" i="3"/>
  <c r="AN12" i="3" l="1"/>
  <c r="AJ12" i="3"/>
  <c r="W34" i="3"/>
  <c r="W36" i="3" s="1"/>
  <c r="AH34" i="3"/>
  <c r="AH36" i="3" s="1"/>
  <c r="V34" i="3"/>
  <c r="V36" i="3" s="1"/>
  <c r="X34" i="3"/>
  <c r="X36" i="3" s="1"/>
  <c r="AN22" i="3"/>
  <c r="AJ22" i="3"/>
  <c r="S22" i="3"/>
  <c r="U26" i="3"/>
  <c r="U22" i="3"/>
  <c r="U12" i="3"/>
  <c r="AJ26" i="3"/>
  <c r="T22" i="3"/>
  <c r="T26" i="3"/>
  <c r="T12" i="3"/>
  <c r="S26" i="3"/>
  <c r="S12" i="3"/>
  <c r="AN26" i="3"/>
  <c r="AJ34" i="3" l="1"/>
  <c r="AJ36" i="3" s="1"/>
  <c r="AN34" i="3"/>
  <c r="AN36" i="3" s="1"/>
  <c r="T34" i="3"/>
  <c r="T36" i="3" s="1"/>
  <c r="S34" i="3"/>
  <c r="S36" i="3" s="1"/>
  <c r="U34" i="3"/>
  <c r="U36" i="3" s="1"/>
  <c r="R19" i="3"/>
  <c r="R32" i="3"/>
  <c r="R31" i="3"/>
  <c r="R30" i="3"/>
  <c r="R29" i="3"/>
  <c r="R28" i="3"/>
  <c r="R27" i="3"/>
  <c r="R25" i="3"/>
  <c r="R24" i="3"/>
  <c r="R23" i="3"/>
  <c r="R18" i="3"/>
  <c r="R17" i="3"/>
  <c r="R16" i="3"/>
  <c r="R15" i="3"/>
  <c r="R14" i="3"/>
  <c r="R13" i="3"/>
  <c r="Q26" i="3"/>
  <c r="Q22" i="3"/>
  <c r="Q12" i="3"/>
  <c r="R26" i="3" l="1"/>
  <c r="R22" i="3"/>
  <c r="R12" i="3"/>
  <c r="R34" i="3" l="1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3" i="3"/>
  <c r="F23" i="3"/>
  <c r="E24" i="3"/>
  <c r="F24" i="3"/>
  <c r="E25" i="3"/>
  <c r="F25" i="3"/>
  <c r="E27" i="3"/>
  <c r="F27" i="3"/>
  <c r="E28" i="3"/>
  <c r="F28" i="3"/>
  <c r="E29" i="3"/>
  <c r="F29" i="3"/>
  <c r="E30" i="3"/>
  <c r="F30" i="3"/>
  <c r="E31" i="3"/>
  <c r="F31" i="3"/>
  <c r="E32" i="3"/>
  <c r="F32" i="3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G36" i="3" l="1"/>
  <c r="E12" i="3"/>
  <c r="E26" i="3"/>
  <c r="E22" i="3"/>
  <c r="F26" i="3"/>
  <c r="F12" i="3"/>
  <c r="F22" i="3"/>
  <c r="D26" i="3"/>
  <c r="D22" i="3"/>
  <c r="F34" i="3" l="1"/>
  <c r="F36" i="3" s="1"/>
  <c r="E34" i="3"/>
  <c r="E36" i="3" s="1"/>
  <c r="H36" i="3" l="1"/>
  <c r="D12" i="3"/>
  <c r="D34" i="3" s="1"/>
  <c r="D36" i="3" l="1"/>
  <c r="I36" i="3" l="1"/>
  <c r="J36" i="3" l="1"/>
  <c r="R36" i="3" l="1"/>
  <c r="BT14" i="3"/>
  <c r="BT34" i="3" s="1"/>
  <c r="BT36" i="3" l="1"/>
  <c r="CG34" i="3"/>
  <c r="CH34" i="3" s="1"/>
  <c r="CI34" i="3" s="1"/>
</calcChain>
</file>

<file path=xl/sharedStrings.xml><?xml version="1.0" encoding="utf-8"?>
<sst xmlns="http://schemas.openxmlformats.org/spreadsheetml/2006/main" count="424" uniqueCount="167">
  <si>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</si>
  <si>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</si>
  <si>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</si>
  <si>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</si>
  <si>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</si>
  <si>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</si>
  <si>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</si>
  <si>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</si>
  <si>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</si>
  <si>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</si>
  <si>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</si>
  <si>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</si>
  <si>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</si>
  <si>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</si>
  <si>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</si>
  <si>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</si>
  <si>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</si>
  <si>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</si>
  <si>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</si>
  <si>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</si>
  <si>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</si>
  <si>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</si>
  <si>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</si>
  <si>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</si>
  <si>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</si>
  <si>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</si>
  <si>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</si>
  <si>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</si>
  <si>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</si>
  <si>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</si>
  <si>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</si>
  <si>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</si>
  <si>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</si>
  <si>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</si>
  <si>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</si>
  <si>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</si>
  <si>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</si>
  <si>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</si>
  <si>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</si>
  <si>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</si>
  <si>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</si>
  <si>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</si>
  <si>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</si>
  <si>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</si>
  <si>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</si>
  <si>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</si>
  <si>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</si>
  <si>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</si>
  <si>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МВК   деревянный не благоустроенный без канализации,  с печным отоплением (без центр отопления)</t>
  </si>
  <si>
    <t>27</t>
  </si>
  <si>
    <t>12</t>
  </si>
  <si>
    <t>10</t>
  </si>
  <si>
    <t>3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</si>
  <si>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</si>
  <si>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</si>
  <si>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</si>
  <si>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</si>
  <si>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</si>
  <si>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</si>
  <si>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МКД без канализации, без ХВС (колонка) с  центр отоплением</t>
  </si>
  <si>
    <t>20</t>
  </si>
  <si>
    <t>5</t>
  </si>
  <si>
    <t>ул. Победы</t>
  </si>
  <si>
    <t>98</t>
  </si>
  <si>
    <t>14</t>
  </si>
  <si>
    <t>17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</si>
  <si>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</si>
  <si>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</si>
  <si>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</si>
  <si>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</si>
  <si>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</si>
  <si>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</si>
  <si>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</si>
  <si>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</si>
  <si>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</si>
  <si>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</si>
  <si>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</si>
  <si>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</si>
  <si>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</si>
  <si>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</si>
  <si>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</si>
  <si>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</si>
  <si>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</si>
  <si>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</si>
  <si>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15. Дератизация</t>
  </si>
  <si>
    <t>16. Дезинсекция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</si>
  <si>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</si>
  <si>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</si>
  <si>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</si>
  <si>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Лот № 4 Маймаксансктй  территориальный округ</t>
  </si>
  <si>
    <t>15</t>
  </si>
  <si>
    <t>20, корп.2</t>
  </si>
  <si>
    <t>20, корп.3</t>
  </si>
  <si>
    <t>18, корп.1</t>
  </si>
  <si>
    <t>18, корп.2</t>
  </si>
  <si>
    <t>19</t>
  </si>
  <si>
    <t>ул. Ьайкальская</t>
  </si>
  <si>
    <t>8</t>
  </si>
  <si>
    <t>19, корп. 2</t>
  </si>
  <si>
    <t>ул. Заводская</t>
  </si>
  <si>
    <t>99</t>
  </si>
  <si>
    <t>7, корп.1</t>
  </si>
  <si>
    <t>20, корп.4</t>
  </si>
  <si>
    <t>22</t>
  </si>
  <si>
    <t>15, корп. 3</t>
  </si>
  <si>
    <t>Маймаксанское шоссе</t>
  </si>
  <si>
    <t>16</t>
  </si>
  <si>
    <t>93</t>
  </si>
  <si>
    <t>94</t>
  </si>
  <si>
    <t>95</t>
  </si>
  <si>
    <t>ул. Пионерская</t>
  </si>
  <si>
    <t>85</t>
  </si>
  <si>
    <t>50</t>
  </si>
  <si>
    <t>56, корп.1</t>
  </si>
  <si>
    <t>5, корп.1</t>
  </si>
  <si>
    <t>52</t>
  </si>
  <si>
    <t>22, корп.1</t>
  </si>
  <si>
    <t>31, корп.1</t>
  </si>
  <si>
    <t>ул. Театральная</t>
  </si>
  <si>
    <t>ул. Школьная</t>
  </si>
  <si>
    <t>75</t>
  </si>
  <si>
    <t>81</t>
  </si>
  <si>
    <t>15, корп.2</t>
  </si>
  <si>
    <t>Покос травы</t>
  </si>
  <si>
    <t>ул. С.М. Буденного</t>
  </si>
  <si>
    <t>6</t>
  </si>
  <si>
    <t>ул. Вельможного</t>
  </si>
  <si>
    <t>7</t>
  </si>
  <si>
    <t>ул.Гидролизная</t>
  </si>
  <si>
    <t>ул. Юности</t>
  </si>
  <si>
    <t>13</t>
  </si>
  <si>
    <t>ул. А.И. Анощенкова</t>
  </si>
  <si>
    <t>4, корп.1</t>
  </si>
  <si>
    <t xml:space="preserve">ул. Заводская </t>
  </si>
  <si>
    <t>100</t>
  </si>
  <si>
    <t>ул. Гидрорлизная</t>
  </si>
  <si>
    <t>ул. Менделеева</t>
  </si>
  <si>
    <t>11, корп.1</t>
  </si>
  <si>
    <t>18. Текущий ремонт</t>
  </si>
  <si>
    <t>18.Текущий ремонт</t>
  </si>
  <si>
    <t>14. Текущий ремонт</t>
  </si>
  <si>
    <t>2</t>
  </si>
  <si>
    <t>4</t>
  </si>
  <si>
    <t>ул.Вельможного</t>
  </si>
  <si>
    <t>1</t>
  </si>
  <si>
    <t>9</t>
  </si>
  <si>
    <t>ул. Гидролизная</t>
  </si>
  <si>
    <t>МВК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</si>
  <si>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</si>
  <si>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</si>
  <si>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</si>
  <si>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</si>
  <si>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4 раз(а) в неделю контейнера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</si>
  <si>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</si>
  <si>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</si>
  <si>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</si>
  <si>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</si>
  <si>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</si>
  <si>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</si>
  <si>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</si>
  <si>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14. Аварийное обслуживание</t>
  </si>
  <si>
    <t>постоянно
на системах водоснабжения, газоснабжения, канализации, энергоснабжения</t>
  </si>
  <si>
    <t>16. Дератизация</t>
  </si>
  <si>
    <t>17. Дезинсекция</t>
  </si>
  <si>
    <t>УЛ. Анощенкова А.И.</t>
  </si>
  <si>
    <t>15. Текущий ремонт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</si>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</sst>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  <charset val="204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3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2" xfId="0" applyNumberFormat="1" applyFont="1" applyFill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2" borderId="0" xfId="0" applyFont="1" applyFill="1" applyAlignment="1"/>
    <xf numFmtId="4" fontId="15" fillId="3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13" fillId="2" borderId="13" xfId="2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16" fillId="3" borderId="1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0" fillId="2" borderId="13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21" fillId="2" borderId="0" xfId="0" applyFont="1" applyFill="1" applyAlignment="1"/>
    <xf numFmtId="4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/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right"/>
    </xf>
    <xf numFmtId="4" fontId="22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/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44"/>
  <sheetViews>
    <sheetView tabSelected="1" view="pageBreakPreview" topLeftCell="W25" zoomScale="86" zoomScaleNormal="100" zoomScaleSheetLayoutView="86" workbookViewId="0">
      <selection activeCell="CG31" sqref="CG31:CK39"/>
    </sheetView>
  </sheetViews>
  <sheetFormatPr defaultRowHeight="12.75" x14ac:dyDescent="0.2"/>
  <cols>
    <col min="1" max="1" width="50.42578125" style="6" customWidth="1"/>
    <col min="2" max="2" width="26.28515625" style="15" customWidth="1"/>
    <col min="3" max="3" width="27.140625" style="28" customWidth="1"/>
    <col min="4" max="4" width="9.28515625" style="78" customWidth="1"/>
    <col min="5" max="5" width="9.5703125" style="78" customWidth="1"/>
    <col min="6" max="14" width="9.28515625" style="78" customWidth="1"/>
    <col min="15" max="15" width="52.5703125" style="78" customWidth="1"/>
    <col min="16" max="16" width="29.5703125" style="78" customWidth="1"/>
    <col min="17" max="17" width="24.7109375" style="78" customWidth="1"/>
    <col min="18" max="23" width="14.28515625" style="78" customWidth="1"/>
    <col min="24" max="29" width="14.42578125" style="78" customWidth="1"/>
    <col min="30" max="30" width="24.7109375" style="78" customWidth="1"/>
    <col min="31" max="32" width="14.42578125" style="78" customWidth="1"/>
    <col min="33" max="33" width="24.7109375" style="78" customWidth="1"/>
    <col min="34" max="34" width="14.28515625" style="78" customWidth="1"/>
    <col min="35" max="35" width="24.7109375" style="78" customWidth="1"/>
    <col min="36" max="36" width="14.28515625" style="78" customWidth="1"/>
    <col min="37" max="38" width="14.42578125" style="78" customWidth="1"/>
    <col min="39" max="39" width="24.7109375" style="78" customWidth="1"/>
    <col min="40" max="40" width="14.28515625" style="78" customWidth="1"/>
    <col min="41" max="41" width="47.140625" style="98" customWidth="1"/>
    <col min="42" max="42" width="24.7109375" style="98" customWidth="1"/>
    <col min="43" max="43" width="27.5703125" style="98" customWidth="1"/>
    <col min="44" max="44" width="9.28515625" style="78" customWidth="1"/>
    <col min="45" max="45" width="56.7109375" style="78" customWidth="1"/>
    <col min="46" max="46" width="29.140625" style="78" customWidth="1"/>
    <col min="47" max="47" width="25.42578125" style="78" customWidth="1"/>
    <col min="48" max="64" width="14.42578125" style="78" customWidth="1"/>
    <col min="65" max="65" width="25.42578125" style="78" customWidth="1"/>
    <col min="66" max="66" width="14.42578125" style="78" customWidth="1"/>
    <col min="67" max="67" width="25.42578125" style="78" customWidth="1"/>
    <col min="68" max="68" width="14.42578125" style="78" customWidth="1"/>
    <col min="69" max="69" width="47.28515625" style="78" customWidth="1"/>
    <col min="70" max="70" width="35.7109375" style="78" customWidth="1"/>
    <col min="71" max="71" width="23.85546875" style="7" customWidth="1"/>
    <col min="72" max="73" width="12.7109375" style="7" customWidth="1"/>
    <col min="74" max="74" width="12.7109375" style="78" customWidth="1"/>
    <col min="75" max="75" width="12.7109375" style="28" customWidth="1"/>
    <col min="76" max="76" width="23.85546875" style="7" customWidth="1"/>
    <col min="77" max="77" width="12.7109375" style="28" customWidth="1"/>
    <col min="78" max="78" width="23.85546875" style="7" customWidth="1"/>
    <col min="79" max="79" width="12.7109375" style="28" customWidth="1"/>
    <col min="80" max="80" width="12.7109375" style="78" customWidth="1"/>
    <col min="81" max="81" width="58.7109375" style="7" customWidth="1"/>
    <col min="82" max="82" width="24.5703125" style="7" customWidth="1"/>
    <col min="83" max="83" width="25.140625" style="7" customWidth="1"/>
    <col min="84" max="84" width="9.28515625" style="113" customWidth="1"/>
    <col min="85" max="85" width="17.140625" style="7" customWidth="1"/>
    <col min="86" max="86" width="11.7109375" style="15" customWidth="1"/>
    <col min="87" max="87" width="12.140625" style="15" customWidth="1"/>
    <col min="88" max="92" width="17.28515625" style="15" customWidth="1"/>
    <col min="93" max="93" width="48.5703125" style="15" customWidth="1"/>
    <col min="94" max="94" width="26.85546875" style="15" customWidth="1"/>
    <col min="95" max="95" width="17.28515625" style="15" customWidth="1"/>
    <col min="96" max="115" width="9.28515625" style="7" customWidth="1"/>
    <col min="116" max="116" width="74.7109375" style="7" customWidth="1"/>
    <col min="117" max="117" width="24.5703125" style="7" customWidth="1"/>
    <col min="118" max="118" width="25.140625" style="7" customWidth="1"/>
    <col min="119" max="119" width="9.28515625" style="7" customWidth="1"/>
    <col min="120" max="120" width="12.7109375" style="7" customWidth="1"/>
    <col min="121" max="121" width="9.28515625" style="7" customWidth="1"/>
    <col min="122" max="122" width="47" style="7" customWidth="1"/>
    <col min="123" max="123" width="14.7109375" style="7" customWidth="1"/>
    <col min="124" max="124" width="17.5703125" style="7" customWidth="1"/>
    <col min="125" max="126" width="10.5703125" style="7" customWidth="1"/>
    <col min="127" max="127" width="50" style="7" customWidth="1"/>
    <col min="128" max="128" width="14.7109375" style="7" customWidth="1"/>
    <col min="129" max="132" width="14.5703125" style="7" customWidth="1"/>
    <col min="133" max="135" width="13.5703125" customWidth="1"/>
    <col min="136" max="136" width="13.140625" style="46" customWidth="1"/>
  </cols>
  <sheetData>
    <row r="1" spans="1:141" s="1" customFormat="1" ht="16.5" customHeight="1" x14ac:dyDescent="0.25">
      <c r="A1" s="21" t="s">
        <v>17</v>
      </c>
      <c r="B1" s="21"/>
      <c r="C1" s="27"/>
      <c r="D1" s="93" t="s">
        <v>54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96"/>
      <c r="AP1" s="96"/>
      <c r="AQ1" s="9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3"/>
      <c r="BT1" s="3"/>
      <c r="BU1" s="3"/>
      <c r="BV1" s="76"/>
      <c r="BW1" s="27"/>
      <c r="BX1" s="3"/>
      <c r="BY1" s="27"/>
      <c r="BZ1" s="3"/>
      <c r="CA1" s="27"/>
      <c r="CB1" s="76"/>
      <c r="CC1" s="3"/>
      <c r="CD1" s="3"/>
      <c r="CE1" s="3"/>
      <c r="CF1" s="114"/>
      <c r="CG1" s="3"/>
      <c r="CH1" s="21"/>
      <c r="CI1" s="20"/>
      <c r="CJ1" s="20"/>
      <c r="CK1" s="20"/>
      <c r="CL1" s="18"/>
      <c r="CM1" s="18"/>
      <c r="CN1" s="18"/>
      <c r="CO1" s="20"/>
      <c r="CP1" s="20"/>
      <c r="CQ1" s="20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F1" s="45"/>
    </row>
    <row r="2" spans="1:141" s="1" customFormat="1" ht="16.5" customHeight="1" x14ac:dyDescent="0.25">
      <c r="A2" s="21" t="s">
        <v>16</v>
      </c>
      <c r="B2" s="21"/>
      <c r="C2" s="27"/>
      <c r="D2" s="77" t="s">
        <v>55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97"/>
      <c r="AP2" s="97"/>
      <c r="AQ2" s="9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4"/>
      <c r="BT2" s="4"/>
      <c r="BU2" s="4"/>
      <c r="BV2" s="77"/>
      <c r="BW2" s="27"/>
      <c r="BX2" s="4"/>
      <c r="BY2" s="27"/>
      <c r="BZ2" s="4"/>
      <c r="CA2" s="27"/>
      <c r="CB2" s="77"/>
      <c r="CC2" s="4"/>
      <c r="CD2" s="4"/>
      <c r="CE2" s="4"/>
      <c r="CF2" s="115"/>
      <c r="CG2" s="4"/>
      <c r="CH2" s="21"/>
      <c r="CI2" s="20"/>
      <c r="CJ2" s="20"/>
      <c r="CK2" s="20"/>
      <c r="CL2" s="18"/>
      <c r="CM2" s="18"/>
      <c r="CN2" s="18"/>
      <c r="CO2" s="20"/>
      <c r="CP2" s="20"/>
      <c r="CQ2" s="20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F2" s="45"/>
    </row>
    <row r="3" spans="1:141" s="1" customFormat="1" ht="16.5" customHeight="1" x14ac:dyDescent="0.25">
      <c r="A3" s="21" t="s">
        <v>15</v>
      </c>
      <c r="B3" s="21"/>
      <c r="C3" s="27"/>
      <c r="D3" s="77" t="s">
        <v>56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97"/>
      <c r="AP3" s="97"/>
      <c r="AQ3" s="9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4"/>
      <c r="BT3" s="4"/>
      <c r="BU3" s="4"/>
      <c r="BV3" s="77"/>
      <c r="BW3" s="27"/>
      <c r="BX3" s="4"/>
      <c r="BY3" s="27"/>
      <c r="BZ3" s="4"/>
      <c r="CA3" s="27"/>
      <c r="CB3" s="77"/>
      <c r="CC3" s="4"/>
      <c r="CD3" s="4"/>
      <c r="CE3" s="4"/>
      <c r="CF3" s="115"/>
      <c r="CG3" s="4"/>
      <c r="CH3" s="21"/>
      <c r="CI3" s="20"/>
      <c r="CJ3" s="20"/>
      <c r="CK3" s="20"/>
      <c r="CL3" s="18"/>
      <c r="CM3" s="18"/>
      <c r="CN3" s="18"/>
      <c r="CO3" s="20"/>
      <c r="CP3" s="20"/>
      <c r="CQ3" s="20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F3" s="45"/>
    </row>
    <row r="4" spans="1:141" s="1" customFormat="1" ht="16.5" customHeight="1" x14ac:dyDescent="0.2">
      <c r="A4" s="21" t="s">
        <v>14</v>
      </c>
      <c r="B4" s="21"/>
      <c r="C4" s="2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98"/>
      <c r="AP4" s="98"/>
      <c r="AQ4" s="9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"/>
      <c r="BT4" s="7"/>
      <c r="BU4" s="7"/>
      <c r="BV4" s="78"/>
      <c r="BW4" s="27"/>
      <c r="BX4" s="7"/>
      <c r="BY4" s="27"/>
      <c r="BZ4" s="7"/>
      <c r="CA4" s="27"/>
      <c r="CB4" s="78"/>
      <c r="CC4" s="7"/>
      <c r="CD4" s="7"/>
      <c r="CE4" s="7"/>
      <c r="CF4" s="113"/>
      <c r="CG4" s="7"/>
      <c r="CH4" s="21"/>
      <c r="CI4" s="20"/>
      <c r="CJ4" s="18"/>
      <c r="CK4" s="18"/>
      <c r="CL4" s="18"/>
      <c r="CM4" s="18"/>
      <c r="CN4" s="18"/>
      <c r="CO4" s="20"/>
      <c r="CP4" s="20"/>
      <c r="CQ4" s="20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F4" s="45"/>
    </row>
    <row r="5" spans="1:141" s="1" customFormat="1" x14ac:dyDescent="0.2">
      <c r="A5" s="5" t="s">
        <v>89</v>
      </c>
      <c r="B5" s="15"/>
      <c r="C5" s="2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98"/>
      <c r="AP5" s="98"/>
      <c r="AQ5" s="9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"/>
      <c r="BT5" s="7"/>
      <c r="BU5" s="7"/>
      <c r="BV5" s="78"/>
      <c r="BW5" s="28"/>
      <c r="BX5" s="7"/>
      <c r="BY5" s="28"/>
      <c r="BZ5" s="7"/>
      <c r="CA5" s="28"/>
      <c r="CB5" s="78"/>
      <c r="CC5" s="7"/>
      <c r="CD5" s="7"/>
      <c r="CE5" s="7"/>
      <c r="CF5" s="113"/>
      <c r="CG5" s="7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F5" s="45"/>
    </row>
    <row r="6" spans="1:141" s="1" customFormat="1" ht="15.75" customHeight="1" x14ac:dyDescent="0.2">
      <c r="B6" s="36" t="s">
        <v>13</v>
      </c>
      <c r="C6" s="3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54"/>
      <c r="AP6" s="54"/>
      <c r="AQ6" s="54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7"/>
      <c r="BX6" s="19"/>
      <c r="BY6" s="17"/>
      <c r="BZ6" s="19"/>
      <c r="CA6" s="17"/>
      <c r="CB6" s="19"/>
      <c r="CC6" s="19"/>
      <c r="CD6" s="19"/>
      <c r="CE6" s="19"/>
      <c r="CF6" s="19"/>
      <c r="CG6" s="19"/>
      <c r="CH6" s="22"/>
      <c r="CI6" s="17"/>
      <c r="CJ6" s="17"/>
      <c r="CK6" s="17"/>
      <c r="CL6" s="17"/>
      <c r="CM6" s="17"/>
      <c r="CN6" s="17"/>
      <c r="CO6" s="22"/>
      <c r="CP6" s="22"/>
      <c r="CQ6" s="22"/>
      <c r="CR6" s="12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2"/>
      <c r="DV6" s="19"/>
      <c r="DW6" s="19"/>
      <c r="DX6" s="19"/>
      <c r="DY6" s="19"/>
      <c r="DZ6" s="19"/>
      <c r="EA6" s="19"/>
      <c r="EB6" s="19"/>
      <c r="EC6" s="12"/>
      <c r="ED6" s="19"/>
      <c r="EE6" s="19"/>
      <c r="EF6" s="19"/>
      <c r="EG6" s="12"/>
      <c r="EH6" s="12"/>
      <c r="EI6" s="12"/>
      <c r="EJ6" s="12"/>
      <c r="EK6" s="12"/>
    </row>
    <row r="7" spans="1:141" s="8" customFormat="1" ht="71.25" customHeight="1" x14ac:dyDescent="0.2">
      <c r="A7" s="134" t="s">
        <v>25</v>
      </c>
      <c r="B7" s="135" t="s">
        <v>12</v>
      </c>
      <c r="C7" s="135" t="s">
        <v>47</v>
      </c>
      <c r="D7" s="58" t="s">
        <v>62</v>
      </c>
      <c r="E7" s="58" t="s">
        <v>62</v>
      </c>
      <c r="F7" s="58" t="s">
        <v>62</v>
      </c>
      <c r="G7" s="58" t="s">
        <v>62</v>
      </c>
      <c r="H7" s="58" t="s">
        <v>62</v>
      </c>
      <c r="I7" s="58" t="s">
        <v>62</v>
      </c>
      <c r="J7" s="58" t="s">
        <v>62</v>
      </c>
      <c r="K7" s="58" t="s">
        <v>96</v>
      </c>
      <c r="L7" s="58" t="s">
        <v>62</v>
      </c>
      <c r="M7" s="58" t="s">
        <v>99</v>
      </c>
      <c r="N7" s="58" t="s">
        <v>62</v>
      </c>
      <c r="O7" s="136" t="s">
        <v>25</v>
      </c>
      <c r="P7" s="126" t="s">
        <v>12</v>
      </c>
      <c r="Q7" s="126" t="s">
        <v>48</v>
      </c>
      <c r="R7" s="58" t="s">
        <v>62</v>
      </c>
      <c r="S7" s="58" t="s">
        <v>62</v>
      </c>
      <c r="T7" s="58" t="s">
        <v>105</v>
      </c>
      <c r="U7" s="58" t="s">
        <v>99</v>
      </c>
      <c r="V7" s="58" t="s">
        <v>99</v>
      </c>
      <c r="W7" s="58" t="s">
        <v>110</v>
      </c>
      <c r="X7" s="58" t="s">
        <v>62</v>
      </c>
      <c r="Y7" s="58" t="s">
        <v>62</v>
      </c>
      <c r="Z7" s="58" t="s">
        <v>118</v>
      </c>
      <c r="AA7" s="58" t="s">
        <v>119</v>
      </c>
      <c r="AB7" s="58" t="s">
        <v>119</v>
      </c>
      <c r="AC7" s="58" t="s">
        <v>62</v>
      </c>
      <c r="AD7" s="126" t="s">
        <v>48</v>
      </c>
      <c r="AE7" s="58" t="s">
        <v>62</v>
      </c>
      <c r="AF7" s="58" t="s">
        <v>62</v>
      </c>
      <c r="AG7" s="126" t="s">
        <v>48</v>
      </c>
      <c r="AH7" s="58" t="s">
        <v>99</v>
      </c>
      <c r="AI7" s="126" t="s">
        <v>48</v>
      </c>
      <c r="AJ7" s="58" t="s">
        <v>99</v>
      </c>
      <c r="AK7" s="58" t="s">
        <v>62</v>
      </c>
      <c r="AL7" s="58" t="s">
        <v>62</v>
      </c>
      <c r="AM7" s="126" t="s">
        <v>48</v>
      </c>
      <c r="AN7" s="58" t="s">
        <v>62</v>
      </c>
      <c r="AO7" s="87" t="s">
        <v>25</v>
      </c>
      <c r="AP7" s="88" t="s">
        <v>12</v>
      </c>
      <c r="AQ7" s="88" t="s">
        <v>59</v>
      </c>
      <c r="AR7" s="58" t="s">
        <v>62</v>
      </c>
      <c r="AS7" s="132" t="s">
        <v>66</v>
      </c>
      <c r="AT7" s="130" t="s">
        <v>12</v>
      </c>
      <c r="AU7" s="130" t="s">
        <v>67</v>
      </c>
      <c r="AV7" s="58" t="s">
        <v>124</v>
      </c>
      <c r="AW7" s="58" t="s">
        <v>124</v>
      </c>
      <c r="AX7" s="58" t="s">
        <v>124</v>
      </c>
      <c r="AY7" s="58" t="s">
        <v>126</v>
      </c>
      <c r="AZ7" s="58" t="s">
        <v>126</v>
      </c>
      <c r="BA7" s="58" t="s">
        <v>128</v>
      </c>
      <c r="BB7" s="58" t="s">
        <v>129</v>
      </c>
      <c r="BC7" s="58" t="s">
        <v>131</v>
      </c>
      <c r="BD7" s="58" t="s">
        <v>62</v>
      </c>
      <c r="BE7" s="58" t="s">
        <v>135</v>
      </c>
      <c r="BF7" s="58" t="s">
        <v>136</v>
      </c>
      <c r="BG7" s="58" t="s">
        <v>129</v>
      </c>
      <c r="BH7" s="58" t="s">
        <v>124</v>
      </c>
      <c r="BI7" s="58" t="s">
        <v>126</v>
      </c>
      <c r="BJ7" s="58" t="s">
        <v>136</v>
      </c>
      <c r="BK7" s="58" t="s">
        <v>136</v>
      </c>
      <c r="BL7" s="58" t="s">
        <v>129</v>
      </c>
      <c r="BM7" s="130" t="s">
        <v>67</v>
      </c>
      <c r="BN7" s="58" t="s">
        <v>129</v>
      </c>
      <c r="BO7" s="130" t="s">
        <v>67</v>
      </c>
      <c r="BP7" s="58" t="s">
        <v>133</v>
      </c>
      <c r="BQ7" s="128" t="s">
        <v>66</v>
      </c>
      <c r="BR7" s="129" t="s">
        <v>12</v>
      </c>
      <c r="BS7" s="138" t="s">
        <v>88</v>
      </c>
      <c r="BT7" s="58" t="s">
        <v>124</v>
      </c>
      <c r="BU7" s="58" t="s">
        <v>129</v>
      </c>
      <c r="BV7" s="58" t="s">
        <v>124</v>
      </c>
      <c r="BW7" s="58" t="s">
        <v>143</v>
      </c>
      <c r="BX7" s="138" t="s">
        <v>88</v>
      </c>
      <c r="BY7" s="58" t="s">
        <v>143</v>
      </c>
      <c r="BZ7" s="138" t="s">
        <v>88</v>
      </c>
      <c r="CA7" s="58" t="s">
        <v>146</v>
      </c>
      <c r="CB7" s="58" t="s">
        <v>146</v>
      </c>
      <c r="CC7" s="128" t="s">
        <v>25</v>
      </c>
      <c r="CD7" s="129" t="s">
        <v>12</v>
      </c>
      <c r="CE7" s="138" t="s">
        <v>147</v>
      </c>
      <c r="CF7" s="112" t="s">
        <v>164</v>
      </c>
    </row>
    <row r="8" spans="1:141" s="8" customFormat="1" ht="22.5" customHeight="1" x14ac:dyDescent="0.2">
      <c r="A8" s="134"/>
      <c r="B8" s="135"/>
      <c r="C8" s="135"/>
      <c r="D8" s="85" t="s">
        <v>91</v>
      </c>
      <c r="E8" s="85" t="s">
        <v>92</v>
      </c>
      <c r="F8" s="85" t="s">
        <v>90</v>
      </c>
      <c r="G8" s="85" t="s">
        <v>65</v>
      </c>
      <c r="H8" s="85" t="s">
        <v>93</v>
      </c>
      <c r="I8" s="85" t="s">
        <v>94</v>
      </c>
      <c r="J8" s="85" t="s">
        <v>95</v>
      </c>
      <c r="K8" s="85" t="s">
        <v>97</v>
      </c>
      <c r="L8" s="85" t="s">
        <v>98</v>
      </c>
      <c r="M8" s="85" t="s">
        <v>100</v>
      </c>
      <c r="N8" s="85" t="s">
        <v>101</v>
      </c>
      <c r="O8" s="137"/>
      <c r="P8" s="127"/>
      <c r="Q8" s="127"/>
      <c r="R8" s="58" t="s">
        <v>102</v>
      </c>
      <c r="S8" s="58" t="s">
        <v>104</v>
      </c>
      <c r="T8" s="58" t="s">
        <v>106</v>
      </c>
      <c r="U8" s="58" t="s">
        <v>108</v>
      </c>
      <c r="V8" s="58" t="s">
        <v>109</v>
      </c>
      <c r="W8" s="58" t="s">
        <v>111</v>
      </c>
      <c r="X8" s="58" t="s">
        <v>112</v>
      </c>
      <c r="Y8" s="58" t="s">
        <v>113</v>
      </c>
      <c r="Z8" s="58" t="s">
        <v>166</v>
      </c>
      <c r="AA8" s="58" t="s">
        <v>120</v>
      </c>
      <c r="AB8" s="58" t="s">
        <v>121</v>
      </c>
      <c r="AC8" s="58" t="s">
        <v>122</v>
      </c>
      <c r="AD8" s="127"/>
      <c r="AE8" s="58" t="s">
        <v>114</v>
      </c>
      <c r="AF8" s="58" t="s">
        <v>117</v>
      </c>
      <c r="AG8" s="127"/>
      <c r="AH8" s="58" t="s">
        <v>63</v>
      </c>
      <c r="AI8" s="127"/>
      <c r="AJ8" s="58" t="s">
        <v>107</v>
      </c>
      <c r="AK8" s="58" t="s">
        <v>115</v>
      </c>
      <c r="AL8" s="58" t="s">
        <v>116</v>
      </c>
      <c r="AM8" s="127"/>
      <c r="AN8" s="58" t="s">
        <v>103</v>
      </c>
      <c r="AO8" s="99"/>
      <c r="AP8" s="99"/>
      <c r="AQ8" s="99"/>
      <c r="AR8" s="58" t="s">
        <v>49</v>
      </c>
      <c r="AS8" s="133"/>
      <c r="AT8" s="131"/>
      <c r="AU8" s="131"/>
      <c r="AV8" s="86" t="s">
        <v>50</v>
      </c>
      <c r="AW8" s="86" t="s">
        <v>125</v>
      </c>
      <c r="AX8" s="86" t="s">
        <v>64</v>
      </c>
      <c r="AY8" s="86" t="s">
        <v>52</v>
      </c>
      <c r="AZ8" s="86" t="s">
        <v>127</v>
      </c>
      <c r="BA8" s="86" t="s">
        <v>90</v>
      </c>
      <c r="BB8" s="86" t="s">
        <v>130</v>
      </c>
      <c r="BC8" s="86" t="s">
        <v>132</v>
      </c>
      <c r="BD8" s="86" t="s">
        <v>60</v>
      </c>
      <c r="BE8" s="86" t="s">
        <v>125</v>
      </c>
      <c r="BF8" s="86" t="s">
        <v>64</v>
      </c>
      <c r="BG8" s="86" t="s">
        <v>137</v>
      </c>
      <c r="BH8" s="86" t="s">
        <v>61</v>
      </c>
      <c r="BI8" s="86" t="s">
        <v>53</v>
      </c>
      <c r="BJ8" s="86" t="s">
        <v>51</v>
      </c>
      <c r="BK8" s="86" t="s">
        <v>53</v>
      </c>
      <c r="BL8" s="86" t="s">
        <v>50</v>
      </c>
      <c r="BM8" s="131"/>
      <c r="BN8" s="86" t="s">
        <v>53</v>
      </c>
      <c r="BO8" s="131"/>
      <c r="BP8" s="86" t="s">
        <v>134</v>
      </c>
      <c r="BQ8" s="128"/>
      <c r="BR8" s="129"/>
      <c r="BS8" s="138"/>
      <c r="BT8" s="58" t="s">
        <v>52</v>
      </c>
      <c r="BU8" s="58" t="s">
        <v>141</v>
      </c>
      <c r="BV8" s="58" t="s">
        <v>142</v>
      </c>
      <c r="BW8" s="58" t="s">
        <v>145</v>
      </c>
      <c r="BX8" s="138"/>
      <c r="BY8" s="58" t="s">
        <v>144</v>
      </c>
      <c r="BZ8" s="138"/>
      <c r="CA8" s="58" t="s">
        <v>52</v>
      </c>
      <c r="CB8" s="58" t="s">
        <v>130</v>
      </c>
      <c r="CC8" s="128"/>
      <c r="CD8" s="129"/>
      <c r="CE8" s="138"/>
      <c r="CF8" s="58" t="s">
        <v>142</v>
      </c>
    </row>
    <row r="9" spans="1:141" s="1" customFormat="1" ht="12.75" customHeight="1" x14ac:dyDescent="0.2">
      <c r="A9" s="39" t="s">
        <v>11</v>
      </c>
      <c r="B9" s="40"/>
      <c r="C9" s="34">
        <f>SUM(C10:C11)</f>
        <v>1.1700000000000002</v>
      </c>
      <c r="D9" s="89">
        <f t="shared" ref="D9:J9" si="0">SUM(D10:D11)</f>
        <v>5694.6240000000007</v>
      </c>
      <c r="E9" s="89">
        <f t="shared" si="0"/>
        <v>5780.2680000000009</v>
      </c>
      <c r="F9" s="89">
        <f t="shared" si="0"/>
        <v>6618.4560000000001</v>
      </c>
      <c r="G9" s="89">
        <f t="shared" si="0"/>
        <v>5677.7760000000007</v>
      </c>
      <c r="H9" s="89">
        <f t="shared" si="0"/>
        <v>9989.4600000000009</v>
      </c>
      <c r="I9" s="89">
        <f t="shared" si="0"/>
        <v>4711.8240000000005</v>
      </c>
      <c r="J9" s="89">
        <f t="shared" si="0"/>
        <v>8133.3720000000003</v>
      </c>
      <c r="K9" s="89">
        <f t="shared" ref="K9:N9" si="1">SUM(K10:K11)</f>
        <v>0</v>
      </c>
      <c r="L9" s="89">
        <f t="shared" si="1"/>
        <v>0</v>
      </c>
      <c r="M9" s="89">
        <f t="shared" si="1"/>
        <v>8348.1840000000011</v>
      </c>
      <c r="N9" s="89">
        <f t="shared" si="1"/>
        <v>2393.8200000000006</v>
      </c>
      <c r="O9" s="47" t="s">
        <v>11</v>
      </c>
      <c r="P9" s="65"/>
      <c r="Q9" s="34">
        <f>SUM(Q10:Q11)</f>
        <v>0</v>
      </c>
      <c r="R9" s="89">
        <f t="shared" ref="R9" si="2">SUM(R10:R11)</f>
        <v>0</v>
      </c>
      <c r="S9" s="89">
        <f t="shared" ref="S9" si="3">SUM(S10:S11)</f>
        <v>0</v>
      </c>
      <c r="T9" s="89">
        <f t="shared" ref="T9" si="4">SUM(T10:T11)</f>
        <v>0</v>
      </c>
      <c r="U9" s="89">
        <f t="shared" ref="U9" si="5">SUM(U10:U11)</f>
        <v>0</v>
      </c>
      <c r="V9" s="89">
        <f t="shared" ref="V9" si="6">SUM(V10:V11)</f>
        <v>0</v>
      </c>
      <c r="W9" s="89">
        <f t="shared" ref="W9" si="7">SUM(W10:W11)</f>
        <v>0</v>
      </c>
      <c r="X9" s="89">
        <f t="shared" ref="X9:AC9" si="8">SUM(X10:X11)</f>
        <v>0</v>
      </c>
      <c r="Y9" s="89">
        <f t="shared" si="8"/>
        <v>0</v>
      </c>
      <c r="Z9" s="89">
        <f t="shared" si="8"/>
        <v>0</v>
      </c>
      <c r="AA9" s="89">
        <f t="shared" si="8"/>
        <v>0</v>
      </c>
      <c r="AB9" s="89">
        <f t="shared" si="8"/>
        <v>0</v>
      </c>
      <c r="AC9" s="89">
        <f t="shared" si="8"/>
        <v>0</v>
      </c>
      <c r="AD9" s="34">
        <f>SUM(AD10:AD11)</f>
        <v>0</v>
      </c>
      <c r="AE9" s="89">
        <f>SUM(AE10:AE11)</f>
        <v>0</v>
      </c>
      <c r="AF9" s="89">
        <f>SUM(AF10:AF11)</f>
        <v>0</v>
      </c>
      <c r="AG9" s="34">
        <f>SUM(AG10:AG11)</f>
        <v>0</v>
      </c>
      <c r="AH9" s="89">
        <f t="shared" ref="AH9" si="9">SUM(AH10:AH11)</f>
        <v>0</v>
      </c>
      <c r="AI9" s="34">
        <f>SUM(AI10:AI11)</f>
        <v>0</v>
      </c>
      <c r="AJ9" s="89">
        <f t="shared" ref="AJ9" si="10">SUM(AJ10:AJ11)</f>
        <v>0</v>
      </c>
      <c r="AK9" s="89">
        <f>SUM(AK10:AK11)</f>
        <v>0</v>
      </c>
      <c r="AL9" s="89">
        <f>SUM(AL10:AL11)</f>
        <v>0</v>
      </c>
      <c r="AM9" s="34">
        <f>SUM(AM10:AM11)</f>
        <v>0</v>
      </c>
      <c r="AN9" s="89">
        <f>SUM(AN10:AN11)</f>
        <v>0</v>
      </c>
      <c r="AO9" s="87" t="s">
        <v>11</v>
      </c>
      <c r="AP9" s="52"/>
      <c r="AQ9" s="60">
        <f>SUM(AQ10:AQ11)</f>
        <v>1.1700000000000002</v>
      </c>
      <c r="AR9" s="56">
        <f t="shared" ref="AR9" si="11">SUM(AR10:AR11)</f>
        <v>6155.1360000000004</v>
      </c>
      <c r="AS9" s="62" t="s">
        <v>11</v>
      </c>
      <c r="AT9" s="63"/>
      <c r="AU9" s="34">
        <f>SUM(AU10:AU11)</f>
        <v>1.1700000000000002</v>
      </c>
      <c r="AV9" s="10">
        <f t="shared" ref="AV9:BL9" si="12">SUM(AV10:AV11)</f>
        <v>8398.7280000000028</v>
      </c>
      <c r="AW9" s="10">
        <f t="shared" si="12"/>
        <v>7799.2200000000012</v>
      </c>
      <c r="AX9" s="10">
        <f t="shared" si="12"/>
        <v>10312.380000000001</v>
      </c>
      <c r="AY9" s="10">
        <f t="shared" si="12"/>
        <v>8101.0800000000008</v>
      </c>
      <c r="AZ9" s="10">
        <f t="shared" si="12"/>
        <v>7953.6600000000008</v>
      </c>
      <c r="BA9" s="10">
        <f t="shared" si="12"/>
        <v>10343.268000000002</v>
      </c>
      <c r="BB9" s="10">
        <f t="shared" si="12"/>
        <v>2858.5439999999999</v>
      </c>
      <c r="BC9" s="10">
        <f t="shared" si="12"/>
        <v>8898.5520000000015</v>
      </c>
      <c r="BD9" s="10">
        <f t="shared" si="12"/>
        <v>6678.8280000000004</v>
      </c>
      <c r="BE9" s="10">
        <f t="shared" si="12"/>
        <v>5941.7280000000001</v>
      </c>
      <c r="BF9" s="10">
        <f t="shared" si="12"/>
        <v>7278.3360000000002</v>
      </c>
      <c r="BG9" s="10">
        <f t="shared" si="12"/>
        <v>8508.24</v>
      </c>
      <c r="BH9" s="10">
        <f t="shared" si="12"/>
        <v>8012.6280000000015</v>
      </c>
      <c r="BI9" s="10">
        <f t="shared" si="12"/>
        <v>8026.6680000000015</v>
      </c>
      <c r="BJ9" s="10">
        <f t="shared" si="12"/>
        <v>8204.9760000000006</v>
      </c>
      <c r="BK9" s="10">
        <f t="shared" si="12"/>
        <v>8404.344000000001</v>
      </c>
      <c r="BL9" s="10">
        <f t="shared" si="12"/>
        <v>8557.380000000001</v>
      </c>
      <c r="BM9" s="34">
        <f>SUM(BM10:BM11)</f>
        <v>1.1700000000000002</v>
      </c>
      <c r="BN9" s="10">
        <f>SUM(BN10:BN11)</f>
        <v>9415.224000000002</v>
      </c>
      <c r="BO9" s="34">
        <f>SUM(BO10:BO11)</f>
        <v>1.1700000000000002</v>
      </c>
      <c r="BP9" s="10">
        <f>SUM(BP10:BP11)</f>
        <v>8424.0000000000018</v>
      </c>
      <c r="BQ9" s="47" t="s">
        <v>11</v>
      </c>
      <c r="BR9" s="65"/>
      <c r="BS9" s="106">
        <f>SUM(BS10:BS11)</f>
        <v>0</v>
      </c>
      <c r="BT9" s="49">
        <f t="shared" ref="BT9:CB9" si="13">SUM(BT10:BT11)</f>
        <v>0</v>
      </c>
      <c r="BU9" s="49">
        <f t="shared" si="13"/>
        <v>0</v>
      </c>
      <c r="BV9" s="49">
        <f t="shared" si="13"/>
        <v>0</v>
      </c>
      <c r="BW9" s="49">
        <f t="shared" si="13"/>
        <v>0</v>
      </c>
      <c r="BX9" s="106">
        <f>SUM(BX10:BX11)</f>
        <v>0</v>
      </c>
      <c r="BY9" s="49">
        <f>SUM(BY10:BY11)</f>
        <v>0</v>
      </c>
      <c r="BZ9" s="106">
        <f>SUM(BZ10:BZ11)</f>
        <v>0</v>
      </c>
      <c r="CA9" s="49">
        <f t="shared" si="13"/>
        <v>0</v>
      </c>
      <c r="CB9" s="49">
        <f t="shared" si="13"/>
        <v>0</v>
      </c>
      <c r="CC9" s="39" t="s">
        <v>11</v>
      </c>
      <c r="CD9" s="40"/>
      <c r="CE9" s="106">
        <f>SUM(CE10:CE13)</f>
        <v>0</v>
      </c>
      <c r="CF9" s="49">
        <f>SUM(CF10:CF12)</f>
        <v>0</v>
      </c>
    </row>
    <row r="10" spans="1:141" s="1" customFormat="1" ht="31.5" customHeight="1" x14ac:dyDescent="0.2">
      <c r="A10" s="30" t="s">
        <v>18</v>
      </c>
      <c r="B10" s="29" t="s">
        <v>29</v>
      </c>
      <c r="C10" s="65">
        <v>1.1200000000000001</v>
      </c>
      <c r="D10" s="24">
        <f>$C$10*12*D35</f>
        <v>5451.264000000001</v>
      </c>
      <c r="E10" s="24">
        <f t="shared" ref="E10:J10" si="14">$C$10*12*E35</f>
        <v>5533.2480000000005</v>
      </c>
      <c r="F10" s="24">
        <f t="shared" si="14"/>
        <v>6335.616</v>
      </c>
      <c r="G10" s="24">
        <f t="shared" si="14"/>
        <v>5435.1360000000004</v>
      </c>
      <c r="H10" s="24">
        <f t="shared" si="14"/>
        <v>9562.5600000000013</v>
      </c>
      <c r="I10" s="24">
        <f t="shared" si="14"/>
        <v>4510.4640000000009</v>
      </c>
      <c r="J10" s="24">
        <f t="shared" si="14"/>
        <v>7785.7920000000004</v>
      </c>
      <c r="K10" s="24">
        <v>0</v>
      </c>
      <c r="L10" s="24">
        <v>0</v>
      </c>
      <c r="M10" s="24">
        <f t="shared" ref="M10:N10" si="15">$C$10*12*M35</f>
        <v>7991.4240000000009</v>
      </c>
      <c r="N10" s="24">
        <f t="shared" si="15"/>
        <v>2291.5200000000004</v>
      </c>
      <c r="O10" s="79" t="s">
        <v>18</v>
      </c>
      <c r="P10" s="65" t="s">
        <v>29</v>
      </c>
      <c r="Q10" s="65">
        <v>0</v>
      </c>
      <c r="R10" s="24">
        <f>$Q$10*12*R35</f>
        <v>0</v>
      </c>
      <c r="S10" s="24">
        <f t="shared" ref="S10:X10" si="16">$Q$10*12*S35</f>
        <v>0</v>
      </c>
      <c r="T10" s="24">
        <f t="shared" si="16"/>
        <v>0</v>
      </c>
      <c r="U10" s="24">
        <f t="shared" si="16"/>
        <v>0</v>
      </c>
      <c r="V10" s="24">
        <f t="shared" si="16"/>
        <v>0</v>
      </c>
      <c r="W10" s="24">
        <f t="shared" si="16"/>
        <v>0</v>
      </c>
      <c r="X10" s="24">
        <f t="shared" si="16"/>
        <v>0</v>
      </c>
      <c r="Y10" s="24">
        <f t="shared" ref="Y10:AC10" si="17">$Q$10*12*Y35</f>
        <v>0</v>
      </c>
      <c r="Z10" s="24">
        <f t="shared" si="17"/>
        <v>0</v>
      </c>
      <c r="AA10" s="24">
        <f t="shared" si="17"/>
        <v>0</v>
      </c>
      <c r="AB10" s="24">
        <f t="shared" si="17"/>
        <v>0</v>
      </c>
      <c r="AC10" s="24">
        <f t="shared" si="17"/>
        <v>0</v>
      </c>
      <c r="AD10" s="65">
        <v>0</v>
      </c>
      <c r="AE10" s="24">
        <f>$Q$10*12*AE35</f>
        <v>0</v>
      </c>
      <c r="AF10" s="24">
        <f>$Q$10*12*AF35</f>
        <v>0</v>
      </c>
      <c r="AG10" s="65">
        <v>0</v>
      </c>
      <c r="AH10" s="24">
        <f>$Q$10*12*AH35</f>
        <v>0</v>
      </c>
      <c r="AI10" s="65">
        <v>0</v>
      </c>
      <c r="AJ10" s="24">
        <f>$Q$10*12*AJ35</f>
        <v>0</v>
      </c>
      <c r="AK10" s="24">
        <f>$Q$10*12*AK35</f>
        <v>0</v>
      </c>
      <c r="AL10" s="24">
        <f>$Q$10*12*AL35</f>
        <v>0</v>
      </c>
      <c r="AM10" s="65">
        <v>0</v>
      </c>
      <c r="AN10" s="24">
        <f>$Q$10*12*AN35</f>
        <v>0</v>
      </c>
      <c r="AO10" s="61" t="s">
        <v>18</v>
      </c>
      <c r="AP10" s="52" t="s">
        <v>29</v>
      </c>
      <c r="AQ10" s="59">
        <v>1.1200000000000001</v>
      </c>
      <c r="AR10" s="48">
        <f>$AQ$10*12*AR35</f>
        <v>5892.0960000000005</v>
      </c>
      <c r="AS10" s="30" t="s">
        <v>18</v>
      </c>
      <c r="AT10" s="64" t="s">
        <v>68</v>
      </c>
      <c r="AU10" s="65">
        <v>1.1200000000000001</v>
      </c>
      <c r="AV10" s="24">
        <f>$AU$10*12*AV35</f>
        <v>8039.8080000000018</v>
      </c>
      <c r="AW10" s="24">
        <f t="shared" ref="AW10:BL10" si="18">$AU$10*12*AW35</f>
        <v>7465.920000000001</v>
      </c>
      <c r="AX10" s="24">
        <f t="shared" si="18"/>
        <v>9871.68</v>
      </c>
      <c r="AY10" s="24">
        <f t="shared" si="18"/>
        <v>7754.880000000001</v>
      </c>
      <c r="AZ10" s="24">
        <f t="shared" si="18"/>
        <v>7613.7600000000011</v>
      </c>
      <c r="BA10" s="24">
        <f t="shared" si="18"/>
        <v>9901.2480000000014</v>
      </c>
      <c r="BB10" s="24">
        <f t="shared" si="18"/>
        <v>2736.384</v>
      </c>
      <c r="BC10" s="24">
        <f t="shared" si="18"/>
        <v>8518.2720000000008</v>
      </c>
      <c r="BD10" s="24">
        <f t="shared" si="18"/>
        <v>6393.4080000000004</v>
      </c>
      <c r="BE10" s="24">
        <f t="shared" si="18"/>
        <v>5687.808</v>
      </c>
      <c r="BF10" s="24">
        <f t="shared" si="18"/>
        <v>6967.2960000000003</v>
      </c>
      <c r="BG10" s="24">
        <f t="shared" si="18"/>
        <v>8144.64</v>
      </c>
      <c r="BH10" s="24">
        <f t="shared" si="18"/>
        <v>7670.2080000000014</v>
      </c>
      <c r="BI10" s="24">
        <f t="shared" si="18"/>
        <v>7683.648000000001</v>
      </c>
      <c r="BJ10" s="24">
        <f t="shared" si="18"/>
        <v>7854.3360000000002</v>
      </c>
      <c r="BK10" s="24">
        <f t="shared" si="18"/>
        <v>8045.1840000000011</v>
      </c>
      <c r="BL10" s="24">
        <f t="shared" si="18"/>
        <v>8191.6800000000012</v>
      </c>
      <c r="BM10" s="65">
        <v>1.1200000000000001</v>
      </c>
      <c r="BN10" s="24">
        <f>$AU$10*12*BN35</f>
        <v>9012.8640000000014</v>
      </c>
      <c r="BO10" s="65">
        <v>1.1200000000000001</v>
      </c>
      <c r="BP10" s="24">
        <f>$AU$10*12*BP35</f>
        <v>8064.0000000000009</v>
      </c>
      <c r="BQ10" s="30" t="s">
        <v>18</v>
      </c>
      <c r="BR10" s="65" t="s">
        <v>68</v>
      </c>
      <c r="BS10" s="107">
        <v>0</v>
      </c>
      <c r="BT10" s="48">
        <f>$BS$10*12*BT35</f>
        <v>0</v>
      </c>
      <c r="BU10" s="48">
        <f t="shared" ref="BU10:CB10" si="19">$BS$10*12*BU35</f>
        <v>0</v>
      </c>
      <c r="BV10" s="48">
        <f t="shared" si="19"/>
        <v>0</v>
      </c>
      <c r="BW10" s="48">
        <f t="shared" si="19"/>
        <v>0</v>
      </c>
      <c r="BX10" s="107">
        <v>0</v>
      </c>
      <c r="BY10" s="48">
        <f>$BS$10*12*BY35</f>
        <v>0</v>
      </c>
      <c r="BZ10" s="107">
        <v>0</v>
      </c>
      <c r="CA10" s="48">
        <f t="shared" si="19"/>
        <v>0</v>
      </c>
      <c r="CB10" s="48">
        <f t="shared" si="19"/>
        <v>0</v>
      </c>
      <c r="CC10" s="109" t="s">
        <v>18</v>
      </c>
      <c r="CD10" s="29" t="s">
        <v>148</v>
      </c>
      <c r="CE10" s="107">
        <v>0</v>
      </c>
      <c r="CF10" s="116">
        <f>$EO$10*CF35*12</f>
        <v>0</v>
      </c>
    </row>
    <row r="11" spans="1:141" s="1" customFormat="1" ht="63.75" customHeight="1" x14ac:dyDescent="0.2">
      <c r="A11" s="30" t="s">
        <v>22</v>
      </c>
      <c r="B11" s="29" t="s">
        <v>29</v>
      </c>
      <c r="C11" s="65">
        <v>0.05</v>
      </c>
      <c r="D11" s="24">
        <f>$C$11*12*D35</f>
        <v>243.36000000000004</v>
      </c>
      <c r="E11" s="24">
        <f t="shared" ref="E11:J11" si="20">$C$11*12*E35</f>
        <v>247.02000000000004</v>
      </c>
      <c r="F11" s="24">
        <f t="shared" si="20"/>
        <v>282.84000000000003</v>
      </c>
      <c r="G11" s="24">
        <f t="shared" si="20"/>
        <v>242.64000000000001</v>
      </c>
      <c r="H11" s="24">
        <f t="shared" si="20"/>
        <v>426.90000000000009</v>
      </c>
      <c r="I11" s="24">
        <f t="shared" si="20"/>
        <v>201.36000000000004</v>
      </c>
      <c r="J11" s="24">
        <f t="shared" si="20"/>
        <v>347.58000000000004</v>
      </c>
      <c r="K11" s="24">
        <v>0</v>
      </c>
      <c r="L11" s="24">
        <v>0</v>
      </c>
      <c r="M11" s="24">
        <f t="shared" ref="M11:N11" si="21">$C$11*12*M35</f>
        <v>356.76000000000005</v>
      </c>
      <c r="N11" s="24">
        <f t="shared" si="21"/>
        <v>102.30000000000001</v>
      </c>
      <c r="O11" s="30" t="s">
        <v>22</v>
      </c>
      <c r="P11" s="65" t="s">
        <v>29</v>
      </c>
      <c r="Q11" s="65">
        <v>0</v>
      </c>
      <c r="R11" s="24">
        <f>$Q$11*12*R35</f>
        <v>0</v>
      </c>
      <c r="S11" s="24">
        <f t="shared" ref="S11:X11" si="22">$Q$11*12*S35</f>
        <v>0</v>
      </c>
      <c r="T11" s="24">
        <f t="shared" si="22"/>
        <v>0</v>
      </c>
      <c r="U11" s="24">
        <f t="shared" si="22"/>
        <v>0</v>
      </c>
      <c r="V11" s="24">
        <f t="shared" si="22"/>
        <v>0</v>
      </c>
      <c r="W11" s="24">
        <f t="shared" si="22"/>
        <v>0</v>
      </c>
      <c r="X11" s="24">
        <f t="shared" si="22"/>
        <v>0</v>
      </c>
      <c r="Y11" s="24">
        <f t="shared" ref="Y11:AC11" si="23">$Q$11*12*Y35</f>
        <v>0</v>
      </c>
      <c r="Z11" s="24">
        <f t="shared" si="23"/>
        <v>0</v>
      </c>
      <c r="AA11" s="24">
        <f t="shared" si="23"/>
        <v>0</v>
      </c>
      <c r="AB11" s="24">
        <f t="shared" si="23"/>
        <v>0</v>
      </c>
      <c r="AC11" s="24">
        <f t="shared" si="23"/>
        <v>0</v>
      </c>
      <c r="AD11" s="65">
        <v>0</v>
      </c>
      <c r="AE11" s="24">
        <f>$Q$11*12*AE35</f>
        <v>0</v>
      </c>
      <c r="AF11" s="24">
        <f>$Q$11*12*AF35</f>
        <v>0</v>
      </c>
      <c r="AG11" s="65">
        <v>0</v>
      </c>
      <c r="AH11" s="24">
        <f>$Q$11*12*AH35</f>
        <v>0</v>
      </c>
      <c r="AI11" s="65">
        <v>0</v>
      </c>
      <c r="AJ11" s="24">
        <f>$Q$11*12*AJ35</f>
        <v>0</v>
      </c>
      <c r="AK11" s="24">
        <f>$Q$11*12*AK35</f>
        <v>0</v>
      </c>
      <c r="AL11" s="24">
        <f>$Q$11*12*AL35</f>
        <v>0</v>
      </c>
      <c r="AM11" s="65">
        <v>0</v>
      </c>
      <c r="AN11" s="24">
        <f>$Q$11*12*AN35</f>
        <v>0</v>
      </c>
      <c r="AO11" s="61" t="s">
        <v>22</v>
      </c>
      <c r="AP11" s="52" t="s">
        <v>29</v>
      </c>
      <c r="AQ11" s="59">
        <v>0.05</v>
      </c>
      <c r="AR11" s="48">
        <f>$AQ$11*12*AR35</f>
        <v>263.04000000000002</v>
      </c>
      <c r="AS11" s="30" t="s">
        <v>22</v>
      </c>
      <c r="AT11" s="64" t="s">
        <v>69</v>
      </c>
      <c r="AU11" s="65">
        <v>0.05</v>
      </c>
      <c r="AV11" s="24">
        <f>$AU$11*12*AV35</f>
        <v>358.92000000000007</v>
      </c>
      <c r="AW11" s="24">
        <f t="shared" ref="AW11:BL11" si="24">$AU$11*12*AW35</f>
        <v>333.30000000000007</v>
      </c>
      <c r="AX11" s="24">
        <f t="shared" si="24"/>
        <v>440.70000000000005</v>
      </c>
      <c r="AY11" s="24">
        <f t="shared" si="24"/>
        <v>346.20000000000005</v>
      </c>
      <c r="AZ11" s="24">
        <f t="shared" si="24"/>
        <v>339.90000000000003</v>
      </c>
      <c r="BA11" s="24">
        <f t="shared" si="24"/>
        <v>442.0200000000001</v>
      </c>
      <c r="BB11" s="24">
        <f t="shared" si="24"/>
        <v>122.16000000000001</v>
      </c>
      <c r="BC11" s="24">
        <f t="shared" si="24"/>
        <v>380.28000000000003</v>
      </c>
      <c r="BD11" s="24">
        <f t="shared" si="24"/>
        <v>285.42</v>
      </c>
      <c r="BE11" s="24">
        <f t="shared" si="24"/>
        <v>253.92000000000004</v>
      </c>
      <c r="BF11" s="24">
        <f t="shared" si="24"/>
        <v>311.04000000000002</v>
      </c>
      <c r="BG11" s="24">
        <f t="shared" si="24"/>
        <v>363.60000000000008</v>
      </c>
      <c r="BH11" s="24">
        <f t="shared" si="24"/>
        <v>342.42000000000007</v>
      </c>
      <c r="BI11" s="24">
        <f t="shared" si="24"/>
        <v>343.0200000000001</v>
      </c>
      <c r="BJ11" s="24">
        <f t="shared" si="24"/>
        <v>350.64000000000004</v>
      </c>
      <c r="BK11" s="24">
        <f t="shared" si="24"/>
        <v>359.16000000000008</v>
      </c>
      <c r="BL11" s="24">
        <f t="shared" si="24"/>
        <v>365.70000000000005</v>
      </c>
      <c r="BM11" s="65">
        <v>0.05</v>
      </c>
      <c r="BN11" s="24">
        <f>$AU$11*12*BN35</f>
        <v>402.36000000000007</v>
      </c>
      <c r="BO11" s="65">
        <v>0.05</v>
      </c>
      <c r="BP11" s="24">
        <f>$AU$11*12*BP35</f>
        <v>360.00000000000006</v>
      </c>
      <c r="BQ11" s="30" t="s">
        <v>22</v>
      </c>
      <c r="BR11" s="65" t="s">
        <v>69</v>
      </c>
      <c r="BS11" s="107">
        <v>0</v>
      </c>
      <c r="BT11" s="48">
        <f>$BS$11*12*BT35</f>
        <v>0</v>
      </c>
      <c r="BU11" s="48">
        <f t="shared" ref="BU11:CB11" si="25">$BS$11*12*BU35</f>
        <v>0</v>
      </c>
      <c r="BV11" s="48">
        <f t="shared" si="25"/>
        <v>0</v>
      </c>
      <c r="BW11" s="48">
        <f t="shared" si="25"/>
        <v>0</v>
      </c>
      <c r="BX11" s="107">
        <v>0</v>
      </c>
      <c r="BY11" s="48">
        <f>$BS$11*12*BY35</f>
        <v>0</v>
      </c>
      <c r="BZ11" s="107">
        <v>0</v>
      </c>
      <c r="CA11" s="48">
        <f t="shared" si="25"/>
        <v>0</v>
      </c>
      <c r="CB11" s="48">
        <f t="shared" si="25"/>
        <v>0</v>
      </c>
      <c r="CC11" s="110" t="s">
        <v>22</v>
      </c>
      <c r="CD11" s="29" t="s">
        <v>149</v>
      </c>
      <c r="CE11" s="107">
        <v>0</v>
      </c>
      <c r="CF11" s="48">
        <f>$EO$11*CF35*12</f>
        <v>0</v>
      </c>
    </row>
    <row r="12" spans="1:141" s="1" customFormat="1" ht="23.85" customHeight="1" x14ac:dyDescent="0.2">
      <c r="A12" s="31" t="s">
        <v>10</v>
      </c>
      <c r="B12" s="40"/>
      <c r="C12" s="34">
        <f>SUM(C13:C19)</f>
        <v>9.4499999999999993</v>
      </c>
      <c r="D12" s="66">
        <f>SUM(D13:D19)</f>
        <v>45995.040000000001</v>
      </c>
      <c r="E12" s="66">
        <f t="shared" ref="E12:F12" si="26">SUM(E13:E19)</f>
        <v>46686.78</v>
      </c>
      <c r="F12" s="66">
        <f t="shared" si="26"/>
        <v>53456.76</v>
      </c>
      <c r="G12" s="66">
        <f t="shared" ref="G12:H12" si="27">SUM(G13:G19)</f>
        <v>45858.96</v>
      </c>
      <c r="H12" s="66">
        <f t="shared" si="27"/>
        <v>80684.100000000006</v>
      </c>
      <c r="I12" s="66">
        <f t="shared" ref="I12:J12" si="28">SUM(I13:I19)</f>
        <v>38057.040000000008</v>
      </c>
      <c r="J12" s="66">
        <f t="shared" si="28"/>
        <v>65692.62</v>
      </c>
      <c r="K12" s="66">
        <f t="shared" ref="K12:N12" si="29">SUM(K13:K19)</f>
        <v>21840.839999999997</v>
      </c>
      <c r="L12" s="66">
        <f t="shared" si="29"/>
        <v>21443.940000000002</v>
      </c>
      <c r="M12" s="66">
        <f t="shared" si="29"/>
        <v>67427.64</v>
      </c>
      <c r="N12" s="66">
        <f t="shared" si="29"/>
        <v>19334.7</v>
      </c>
      <c r="O12" s="31" t="s">
        <v>10</v>
      </c>
      <c r="P12" s="65"/>
      <c r="Q12" s="47">
        <f>SUM(Q13:Q19)</f>
        <v>9.4499999999999993</v>
      </c>
      <c r="R12" s="49">
        <f>SUM(R13:R19)</f>
        <v>50168.159999999996</v>
      </c>
      <c r="S12" s="49">
        <f t="shared" ref="S12:U12" si="30">SUM(S13:S19)</f>
        <v>60555.6</v>
      </c>
      <c r="T12" s="49">
        <f t="shared" si="30"/>
        <v>61530.840000000011</v>
      </c>
      <c r="U12" s="49">
        <f t="shared" si="30"/>
        <v>68493.600000000006</v>
      </c>
      <c r="V12" s="49">
        <f>SUM(V13:V19)</f>
        <v>68300.820000000007</v>
      </c>
      <c r="W12" s="49">
        <f>SUM(W13:W19)</f>
        <v>60782.399999999994</v>
      </c>
      <c r="X12" s="49">
        <f>SUM(X13:X19)</f>
        <v>61519.5</v>
      </c>
      <c r="Y12" s="49">
        <f t="shared" ref="Y12:AC12" si="31">SUM(Y13:Y19)</f>
        <v>72031.679999999993</v>
      </c>
      <c r="Z12" s="49">
        <f t="shared" si="31"/>
        <v>23201.64</v>
      </c>
      <c r="AA12" s="49">
        <f t="shared" si="31"/>
        <v>74515.14</v>
      </c>
      <c r="AB12" s="49">
        <f t="shared" si="31"/>
        <v>53728.92</v>
      </c>
      <c r="AC12" s="49">
        <f t="shared" si="31"/>
        <v>99984.78</v>
      </c>
      <c r="AD12" s="47">
        <f>SUM(AD13:AD19)</f>
        <v>10.579999999999998</v>
      </c>
      <c r="AE12" s="49">
        <f>SUM(AE13:AE19)</f>
        <v>23373.335999999996</v>
      </c>
      <c r="AF12" s="49">
        <f>SUM(AF13:AF19)</f>
        <v>70272.359999999986</v>
      </c>
      <c r="AG12" s="47">
        <f>SUM(AG13:AG20)</f>
        <v>14.249999999999998</v>
      </c>
      <c r="AH12" s="49">
        <f>SUM(AH13:AH20)</f>
        <v>102480.29999999999</v>
      </c>
      <c r="AI12" s="47">
        <f>SUM(AI13:AI20)</f>
        <v>16.5</v>
      </c>
      <c r="AJ12" s="49">
        <f>SUM(AJ13:AJ20)</f>
        <v>117017.99999999999</v>
      </c>
      <c r="AK12" s="49">
        <f t="shared" ref="AK12:AL12" si="32">SUM(AK13:AK20)</f>
        <v>232135.20000000004</v>
      </c>
      <c r="AL12" s="49">
        <f t="shared" si="32"/>
        <v>113612.4</v>
      </c>
      <c r="AM12" s="47">
        <f>SUM(AM13:AM20)</f>
        <v>15.34</v>
      </c>
      <c r="AN12" s="49">
        <f>SUM(AN13:AN20)</f>
        <v>104060.42399999998</v>
      </c>
      <c r="AO12" s="61"/>
      <c r="AP12" s="52"/>
      <c r="AQ12" s="52"/>
      <c r="AR12" s="55"/>
      <c r="AS12" s="32"/>
      <c r="AT12" s="64"/>
      <c r="AU12" s="65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65"/>
      <c r="BN12" s="24"/>
      <c r="BO12" s="65"/>
      <c r="BP12" s="24"/>
      <c r="BQ12" s="32"/>
      <c r="BR12" s="65"/>
      <c r="BS12" s="100"/>
      <c r="BT12" s="48"/>
      <c r="BU12" s="48"/>
      <c r="BV12" s="48"/>
      <c r="BW12" s="48"/>
      <c r="BX12" s="100"/>
      <c r="BY12" s="48"/>
      <c r="BZ12" s="100"/>
      <c r="CA12" s="48"/>
      <c r="CB12" s="48"/>
      <c r="CC12" s="79"/>
      <c r="CD12" s="65"/>
      <c r="CE12" s="100"/>
      <c r="CF12" s="48"/>
    </row>
    <row r="13" spans="1:141" s="6" customFormat="1" ht="23.25" customHeight="1" x14ac:dyDescent="0.2">
      <c r="A13" s="30" t="s">
        <v>30</v>
      </c>
      <c r="B13" s="29" t="s">
        <v>19</v>
      </c>
      <c r="C13" s="65">
        <v>0.39</v>
      </c>
      <c r="D13" s="24">
        <f t="shared" ref="D13:J13" si="33">$C$13*12*D35</f>
        <v>1898.2080000000001</v>
      </c>
      <c r="E13" s="24">
        <f t="shared" si="33"/>
        <v>1926.7559999999999</v>
      </c>
      <c r="F13" s="24">
        <f t="shared" si="33"/>
        <v>2206.1519999999996</v>
      </c>
      <c r="G13" s="24">
        <f t="shared" si="33"/>
        <v>1892.5919999999999</v>
      </c>
      <c r="H13" s="24">
        <f t="shared" si="33"/>
        <v>3329.8199999999997</v>
      </c>
      <c r="I13" s="24">
        <f t="shared" si="33"/>
        <v>1570.6079999999999</v>
      </c>
      <c r="J13" s="24">
        <f t="shared" si="33"/>
        <v>2711.1239999999998</v>
      </c>
      <c r="K13" s="24">
        <f t="shared" ref="K13:N13" si="34">$C$13*12*K35</f>
        <v>901.36799999999994</v>
      </c>
      <c r="L13" s="24">
        <f t="shared" si="34"/>
        <v>884.98799999999994</v>
      </c>
      <c r="M13" s="24">
        <f t="shared" si="34"/>
        <v>2782.7280000000001</v>
      </c>
      <c r="N13" s="24">
        <f t="shared" si="34"/>
        <v>797.93999999999994</v>
      </c>
      <c r="O13" s="79" t="s">
        <v>30</v>
      </c>
      <c r="P13" s="65" t="s">
        <v>19</v>
      </c>
      <c r="Q13" s="100">
        <v>0.39</v>
      </c>
      <c r="R13" s="48">
        <f t="shared" ref="R13:X13" si="35">$Q$13*12*R35</f>
        <v>2070.4319999999998</v>
      </c>
      <c r="S13" s="48">
        <f t="shared" si="35"/>
        <v>2499.12</v>
      </c>
      <c r="T13" s="48">
        <f t="shared" si="35"/>
        <v>2539.3679999999999</v>
      </c>
      <c r="U13" s="48">
        <f t="shared" si="35"/>
        <v>2826.72</v>
      </c>
      <c r="V13" s="48">
        <f t="shared" si="35"/>
        <v>2818.7639999999997</v>
      </c>
      <c r="W13" s="48">
        <f t="shared" si="35"/>
        <v>2508.48</v>
      </c>
      <c r="X13" s="48">
        <f t="shared" si="35"/>
        <v>2538.8999999999996</v>
      </c>
      <c r="Y13" s="48">
        <f t="shared" ref="Y13:AC13" si="36">$Q$13*12*Y35</f>
        <v>2972.7359999999999</v>
      </c>
      <c r="Z13" s="48">
        <f t="shared" si="36"/>
        <v>957.52799999999991</v>
      </c>
      <c r="AA13" s="48">
        <f t="shared" si="36"/>
        <v>3075.2280000000001</v>
      </c>
      <c r="AB13" s="48">
        <f t="shared" si="36"/>
        <v>2217.384</v>
      </c>
      <c r="AC13" s="48">
        <f t="shared" si="36"/>
        <v>4126.3559999999998</v>
      </c>
      <c r="AD13" s="100">
        <f>0.39+0.09</f>
        <v>0.48</v>
      </c>
      <c r="AE13" s="48">
        <f>$AD$13*12*AE35</f>
        <v>1060.4159999999999</v>
      </c>
      <c r="AF13" s="48">
        <f>$AD$13*12*AF35</f>
        <v>3188.16</v>
      </c>
      <c r="AG13" s="100">
        <f>0.39+1.85</f>
        <v>2.2400000000000002</v>
      </c>
      <c r="AH13" s="48">
        <f>AG13*12*AH35</f>
        <v>16109.184000000001</v>
      </c>
      <c r="AI13" s="100">
        <f>0.39+2.57</f>
        <v>2.96</v>
      </c>
      <c r="AJ13" s="48">
        <f>$AI$13*12*AJ35</f>
        <v>20992.319999999996</v>
      </c>
      <c r="AK13" s="48">
        <f t="shared" ref="AK13:AL13" si="37">$AI$13*12*AK35</f>
        <v>41643.648000000001</v>
      </c>
      <c r="AL13" s="48">
        <f t="shared" si="37"/>
        <v>20381.375999999997</v>
      </c>
      <c r="AM13" s="100">
        <f>0.39+2.18</f>
        <v>2.5700000000000003</v>
      </c>
      <c r="AN13" s="48">
        <f>AM13*12*AN35</f>
        <v>17433.851999999999</v>
      </c>
      <c r="AO13" s="61"/>
      <c r="AP13" s="52"/>
      <c r="AQ13" s="52"/>
      <c r="AR13" s="55"/>
      <c r="AS13" s="32"/>
      <c r="AT13" s="64"/>
      <c r="AU13" s="65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65"/>
      <c r="BN13" s="24"/>
      <c r="BO13" s="65"/>
      <c r="BP13" s="24"/>
      <c r="BQ13" s="32"/>
      <c r="BR13" s="65"/>
      <c r="BS13" s="100"/>
      <c r="BT13" s="48"/>
      <c r="BU13" s="48"/>
      <c r="BV13" s="48"/>
      <c r="BW13" s="48"/>
      <c r="BX13" s="100"/>
      <c r="BY13" s="48"/>
      <c r="BZ13" s="100"/>
      <c r="CA13" s="48"/>
      <c r="CB13" s="48"/>
      <c r="CC13" s="79"/>
      <c r="CD13" s="65"/>
      <c r="CE13" s="100"/>
      <c r="CF13" s="48"/>
    </row>
    <row r="14" spans="1:141" s="1" customFormat="1" ht="30" customHeight="1" x14ac:dyDescent="0.2">
      <c r="A14" s="30" t="s">
        <v>31</v>
      </c>
      <c r="B14" s="29" t="s">
        <v>9</v>
      </c>
      <c r="C14" s="65">
        <v>0.7</v>
      </c>
      <c r="D14" s="24">
        <f t="shared" ref="D14:J14" si="38">$C$14*12*D35</f>
        <v>3407.0399999999995</v>
      </c>
      <c r="E14" s="24">
        <f t="shared" si="38"/>
        <v>3458.2799999999993</v>
      </c>
      <c r="F14" s="24">
        <f t="shared" si="38"/>
        <v>3959.7599999999993</v>
      </c>
      <c r="G14" s="24">
        <f t="shared" si="38"/>
        <v>3396.9599999999991</v>
      </c>
      <c r="H14" s="24">
        <f t="shared" si="38"/>
        <v>5976.5999999999985</v>
      </c>
      <c r="I14" s="24">
        <f t="shared" si="38"/>
        <v>2819.0399999999995</v>
      </c>
      <c r="J14" s="24">
        <f t="shared" si="38"/>
        <v>4866.119999999999</v>
      </c>
      <c r="K14" s="24">
        <f t="shared" ref="K14:N14" si="39">$C$14*12*K35</f>
        <v>1617.8399999999997</v>
      </c>
      <c r="L14" s="24">
        <f t="shared" si="39"/>
        <v>1588.4399999999996</v>
      </c>
      <c r="M14" s="24">
        <f t="shared" si="39"/>
        <v>4994.6399999999994</v>
      </c>
      <c r="N14" s="24">
        <f t="shared" si="39"/>
        <v>1432.1999999999998</v>
      </c>
      <c r="O14" s="79" t="s">
        <v>31</v>
      </c>
      <c r="P14" s="65" t="s">
        <v>9</v>
      </c>
      <c r="Q14" s="100">
        <v>0.7</v>
      </c>
      <c r="R14" s="48">
        <f t="shared" ref="R14:X14" si="40">$Q$14*12*R35</f>
        <v>3716.1599999999994</v>
      </c>
      <c r="S14" s="48">
        <f t="shared" si="40"/>
        <v>4485.5999999999995</v>
      </c>
      <c r="T14" s="48">
        <f t="shared" si="40"/>
        <v>4557.8399999999992</v>
      </c>
      <c r="U14" s="48">
        <f t="shared" si="40"/>
        <v>5073.5999999999995</v>
      </c>
      <c r="V14" s="48">
        <f t="shared" si="40"/>
        <v>5059.3199999999988</v>
      </c>
      <c r="W14" s="48">
        <f t="shared" si="40"/>
        <v>4502.3999999999996</v>
      </c>
      <c r="X14" s="48">
        <f t="shared" si="40"/>
        <v>4556.9999999999991</v>
      </c>
      <c r="Y14" s="48">
        <f t="shared" ref="Y14:AC14" si="41">$Q$14*12*Y35</f>
        <v>5335.6799999999994</v>
      </c>
      <c r="Z14" s="48">
        <f t="shared" si="41"/>
        <v>1718.6399999999996</v>
      </c>
      <c r="AA14" s="48">
        <f t="shared" si="41"/>
        <v>5519.6399999999994</v>
      </c>
      <c r="AB14" s="48">
        <f t="shared" si="41"/>
        <v>3979.9199999999996</v>
      </c>
      <c r="AC14" s="48">
        <f t="shared" si="41"/>
        <v>7406.2799999999988</v>
      </c>
      <c r="AD14" s="100">
        <v>0.7</v>
      </c>
      <c r="AE14" s="48">
        <f>$Q$14*12*AE35</f>
        <v>1546.4399999999996</v>
      </c>
      <c r="AF14" s="48">
        <f>$Q$14*12*AF35</f>
        <v>4649.3999999999996</v>
      </c>
      <c r="AG14" s="100">
        <v>0.7</v>
      </c>
      <c r="AH14" s="48">
        <f>$Q$14*12*AH35</f>
        <v>5034.119999999999</v>
      </c>
      <c r="AI14" s="100">
        <v>0.7</v>
      </c>
      <c r="AJ14" s="48">
        <f>$Q$14*12*AJ35</f>
        <v>4964.3999999999987</v>
      </c>
      <c r="AK14" s="48">
        <f>$Q$14*12*AK35</f>
        <v>9848.16</v>
      </c>
      <c r="AL14" s="48">
        <f>$Q$14*12*AL35</f>
        <v>4819.9199999999992</v>
      </c>
      <c r="AM14" s="100">
        <v>0.7</v>
      </c>
      <c r="AN14" s="48">
        <f>$Q$14*12*AN35</f>
        <v>4748.5199999999986</v>
      </c>
      <c r="AO14" s="87" t="s">
        <v>10</v>
      </c>
      <c r="AP14" s="52"/>
      <c r="AQ14" s="87">
        <f>SUM(AQ15:AQ21)</f>
        <v>9.58</v>
      </c>
      <c r="AR14" s="56">
        <f>SUM(AR15:AR21)</f>
        <v>50398.464000000007</v>
      </c>
      <c r="AS14" s="31" t="s">
        <v>10</v>
      </c>
      <c r="AT14" s="64"/>
      <c r="AU14" s="34">
        <f>SUM(AU15:AU20)</f>
        <v>4.4300000000000006</v>
      </c>
      <c r="AV14" s="66">
        <f t="shared" ref="AV14:BL14" si="42">SUM(AV15:AV20)</f>
        <v>31800.312000000005</v>
      </c>
      <c r="AW14" s="66">
        <f t="shared" si="42"/>
        <v>29530.379999999997</v>
      </c>
      <c r="AX14" s="66">
        <f t="shared" si="42"/>
        <v>39046.020000000004</v>
      </c>
      <c r="AY14" s="66">
        <f t="shared" si="42"/>
        <v>30673.32</v>
      </c>
      <c r="AZ14" s="66">
        <f t="shared" si="42"/>
        <v>30115.14</v>
      </c>
      <c r="BA14" s="66">
        <f t="shared" si="42"/>
        <v>39162.972000000009</v>
      </c>
      <c r="BB14" s="66">
        <f t="shared" si="42"/>
        <v>10823.376</v>
      </c>
      <c r="BC14" s="66">
        <f t="shared" si="42"/>
        <v>33692.807999999997</v>
      </c>
      <c r="BD14" s="66">
        <f t="shared" si="42"/>
        <v>25288.212</v>
      </c>
      <c r="BE14" s="66">
        <f t="shared" si="42"/>
        <v>22497.311999999998</v>
      </c>
      <c r="BF14" s="66">
        <f t="shared" si="42"/>
        <v>27558.144</v>
      </c>
      <c r="BG14" s="66">
        <f t="shared" si="42"/>
        <v>32214.960000000003</v>
      </c>
      <c r="BH14" s="66">
        <f t="shared" si="42"/>
        <v>30338.412000000004</v>
      </c>
      <c r="BI14" s="66">
        <f t="shared" si="42"/>
        <v>30391.572000000004</v>
      </c>
      <c r="BJ14" s="66">
        <f t="shared" si="42"/>
        <v>31066.703999999998</v>
      </c>
      <c r="BK14" s="66">
        <f t="shared" si="42"/>
        <v>31821.576000000001</v>
      </c>
      <c r="BL14" s="66">
        <f t="shared" si="42"/>
        <v>32401.02</v>
      </c>
      <c r="BM14" s="34">
        <f>SUM(BM15:BM21)</f>
        <v>10.32</v>
      </c>
      <c r="BN14" s="66">
        <f>SUM(BN15:BN21)</f>
        <v>83047.104000000007</v>
      </c>
      <c r="BO14" s="34">
        <f>SUM(BO15:BO21)</f>
        <v>13.06</v>
      </c>
      <c r="BP14" s="66">
        <f>SUM(BP15:BP21)</f>
        <v>94032</v>
      </c>
      <c r="BQ14" s="31" t="s">
        <v>10</v>
      </c>
      <c r="BR14" s="65"/>
      <c r="BS14" s="47">
        <f>SUM(BS15:BS20)</f>
        <v>4.4300000000000006</v>
      </c>
      <c r="BT14" s="49">
        <f>SUM(BT15:BT20)</f>
        <v>32576.448</v>
      </c>
      <c r="BU14" s="49">
        <f t="shared" ref="BU14:BW14" si="43">SUM(BU15:BU20)</f>
        <v>30641.423999999999</v>
      </c>
      <c r="BV14" s="49">
        <f t="shared" si="43"/>
        <v>30577.632000000005</v>
      </c>
      <c r="BW14" s="49">
        <f t="shared" si="43"/>
        <v>29854.656000000003</v>
      </c>
      <c r="BX14" s="47">
        <f>SUM(BX15:BX21)</f>
        <v>10.32</v>
      </c>
      <c r="BY14" s="49">
        <f>SUM(BY15:BY21)</f>
        <v>75418.559999999998</v>
      </c>
      <c r="BZ14" s="47">
        <f>SUM(BZ15:BZ21)</f>
        <v>9.23</v>
      </c>
      <c r="CA14" s="49">
        <f>SUM(CA15:CA21)</f>
        <v>64827.828000000001</v>
      </c>
      <c r="CB14" s="49">
        <f>SUM(CB15:CB21)</f>
        <v>65193.335999999996</v>
      </c>
      <c r="CC14" s="31" t="s">
        <v>10</v>
      </c>
      <c r="CD14" s="65"/>
      <c r="CE14" s="47">
        <f>SUM(CE15:CE21)</f>
        <v>4.58</v>
      </c>
      <c r="CF14" s="49">
        <f>SUM(CF15:CF21)</f>
        <v>31777.872000000003</v>
      </c>
    </row>
    <row r="15" spans="1:141" s="6" customFormat="1" ht="32.25" customHeight="1" x14ac:dyDescent="0.2">
      <c r="A15" s="30" t="s">
        <v>32</v>
      </c>
      <c r="B15" s="29" t="s">
        <v>20</v>
      </c>
      <c r="C15" s="65">
        <v>0.38</v>
      </c>
      <c r="D15" s="24">
        <f t="shared" ref="D15:J15" si="44">$C$15*12*D35</f>
        <v>1849.5360000000003</v>
      </c>
      <c r="E15" s="24">
        <f t="shared" si="44"/>
        <v>1877.3520000000001</v>
      </c>
      <c r="F15" s="24">
        <f t="shared" si="44"/>
        <v>2149.5840000000003</v>
      </c>
      <c r="G15" s="24">
        <f t="shared" si="44"/>
        <v>1844.0640000000001</v>
      </c>
      <c r="H15" s="24">
        <f t="shared" si="44"/>
        <v>3244.4400000000005</v>
      </c>
      <c r="I15" s="24">
        <f t="shared" si="44"/>
        <v>1530.3360000000002</v>
      </c>
      <c r="J15" s="24">
        <f t="shared" si="44"/>
        <v>2641.6080000000002</v>
      </c>
      <c r="K15" s="24">
        <f t="shared" ref="K15:N15" si="45">$C$15*12*K35</f>
        <v>878.25600000000009</v>
      </c>
      <c r="L15" s="24">
        <f t="shared" si="45"/>
        <v>862.29600000000005</v>
      </c>
      <c r="M15" s="24">
        <f t="shared" si="45"/>
        <v>2711.3760000000002</v>
      </c>
      <c r="N15" s="24">
        <f t="shared" si="45"/>
        <v>777.48000000000013</v>
      </c>
      <c r="O15" s="79" t="s">
        <v>32</v>
      </c>
      <c r="P15" s="65" t="s">
        <v>20</v>
      </c>
      <c r="Q15" s="100">
        <v>0.38</v>
      </c>
      <c r="R15" s="48">
        <f t="shared" ref="R15:X15" si="46">$Q$15*12*R35</f>
        <v>2017.3440000000001</v>
      </c>
      <c r="S15" s="48">
        <f t="shared" si="46"/>
        <v>2435.0400000000004</v>
      </c>
      <c r="T15" s="48">
        <f t="shared" si="46"/>
        <v>2474.2560000000003</v>
      </c>
      <c r="U15" s="48">
        <f t="shared" si="46"/>
        <v>2754.2400000000002</v>
      </c>
      <c r="V15" s="48">
        <f t="shared" si="46"/>
        <v>2746.4880000000003</v>
      </c>
      <c r="W15" s="48">
        <f t="shared" si="46"/>
        <v>2444.1600000000003</v>
      </c>
      <c r="X15" s="48">
        <f t="shared" si="46"/>
        <v>2473.8000000000002</v>
      </c>
      <c r="Y15" s="48">
        <f t="shared" ref="Y15:AC15" si="47">$Q$15*12*Y35</f>
        <v>2896.5120000000006</v>
      </c>
      <c r="Z15" s="48">
        <f t="shared" si="47"/>
        <v>932.97600000000011</v>
      </c>
      <c r="AA15" s="48">
        <f t="shared" si="47"/>
        <v>2996.3760000000002</v>
      </c>
      <c r="AB15" s="48">
        <f t="shared" si="47"/>
        <v>2160.5280000000002</v>
      </c>
      <c r="AC15" s="48">
        <f t="shared" si="47"/>
        <v>4020.5520000000006</v>
      </c>
      <c r="AD15" s="100">
        <f>0.38+0.58</f>
        <v>0.96</v>
      </c>
      <c r="AE15" s="48">
        <f>$AD$15*12*AE35</f>
        <v>2120.8319999999999</v>
      </c>
      <c r="AF15" s="48">
        <f>$AD$15*12*AF35</f>
        <v>6376.32</v>
      </c>
      <c r="AG15" s="100">
        <f>0.38+1.51</f>
        <v>1.8900000000000001</v>
      </c>
      <c r="AH15" s="48">
        <f>AG15*12*AH35</f>
        <v>13592.123999999998</v>
      </c>
      <c r="AI15" s="100">
        <f>0.38+2.23</f>
        <v>2.61</v>
      </c>
      <c r="AJ15" s="48">
        <f>$AI$15*12*AJ35</f>
        <v>18510.12</v>
      </c>
      <c r="AK15" s="48">
        <f t="shared" ref="AK15:AL15" si="48">$AI$15*12*AK35</f>
        <v>36719.568000000007</v>
      </c>
      <c r="AL15" s="48">
        <f t="shared" si="48"/>
        <v>17971.415999999997</v>
      </c>
      <c r="AM15" s="100">
        <f>0.38+1.96</f>
        <v>2.34</v>
      </c>
      <c r="AN15" s="48">
        <f>AM15*12*AN35</f>
        <v>15873.623999999998</v>
      </c>
      <c r="AO15" s="61" t="s">
        <v>30</v>
      </c>
      <c r="AP15" s="52" t="s">
        <v>19</v>
      </c>
      <c r="AQ15" s="52">
        <v>0.39</v>
      </c>
      <c r="AR15" s="55">
        <f>$AQ$15*12*AR35</f>
        <v>2051.712</v>
      </c>
      <c r="AS15" s="30" t="s">
        <v>70</v>
      </c>
      <c r="AT15" s="64" t="s">
        <v>19</v>
      </c>
      <c r="AU15" s="65">
        <v>0.41</v>
      </c>
      <c r="AV15" s="24">
        <f>$AU$15*12*AV35</f>
        <v>2943.1440000000002</v>
      </c>
      <c r="AW15" s="24">
        <f t="shared" ref="AW15:BL15" si="49">$AU$15*12*AW35</f>
        <v>2733.06</v>
      </c>
      <c r="AX15" s="24">
        <f t="shared" si="49"/>
        <v>3613.74</v>
      </c>
      <c r="AY15" s="24">
        <f t="shared" si="49"/>
        <v>2838.84</v>
      </c>
      <c r="AZ15" s="24">
        <f t="shared" si="49"/>
        <v>2787.18</v>
      </c>
      <c r="BA15" s="24">
        <f t="shared" si="49"/>
        <v>3624.5640000000003</v>
      </c>
      <c r="BB15" s="24">
        <f t="shared" si="49"/>
        <v>1001.712</v>
      </c>
      <c r="BC15" s="24">
        <f t="shared" si="49"/>
        <v>3118.2959999999998</v>
      </c>
      <c r="BD15" s="24">
        <f t="shared" si="49"/>
        <v>2340.444</v>
      </c>
      <c r="BE15" s="24">
        <f t="shared" si="49"/>
        <v>2082.1439999999998</v>
      </c>
      <c r="BF15" s="24">
        <f t="shared" si="49"/>
        <v>2550.5279999999998</v>
      </c>
      <c r="BG15" s="24">
        <f t="shared" si="49"/>
        <v>2981.52</v>
      </c>
      <c r="BH15" s="24">
        <f t="shared" si="49"/>
        <v>2807.8440000000001</v>
      </c>
      <c r="BI15" s="24">
        <f t="shared" si="49"/>
        <v>2812.7640000000001</v>
      </c>
      <c r="BJ15" s="24">
        <f t="shared" si="49"/>
        <v>2875.248</v>
      </c>
      <c r="BK15" s="24">
        <f t="shared" si="49"/>
        <v>2945.1120000000001</v>
      </c>
      <c r="BL15" s="24">
        <f t="shared" si="49"/>
        <v>2998.74</v>
      </c>
      <c r="BM15" s="65">
        <f>0.41+2.18</f>
        <v>2.5900000000000003</v>
      </c>
      <c r="BN15" s="24">
        <f>BM15*12*BN35</f>
        <v>20842.248000000003</v>
      </c>
      <c r="BO15" s="65">
        <f>0.41+2.98</f>
        <v>3.39</v>
      </c>
      <c r="BP15" s="24">
        <f>BO15*12*BP35</f>
        <v>24408</v>
      </c>
      <c r="BQ15" s="79" t="s">
        <v>70</v>
      </c>
      <c r="BR15" s="65" t="s">
        <v>19</v>
      </c>
      <c r="BS15" s="100">
        <v>0.41</v>
      </c>
      <c r="BT15" s="48">
        <f>$BS$15*12*BT35</f>
        <v>3014.9759999999997</v>
      </c>
      <c r="BU15" s="48">
        <f t="shared" ref="BU15:BW15" si="50">$BS$15*12*BU35</f>
        <v>2835.8879999999999</v>
      </c>
      <c r="BV15" s="48">
        <f t="shared" si="50"/>
        <v>2829.9840000000004</v>
      </c>
      <c r="BW15" s="48">
        <f t="shared" si="50"/>
        <v>2763.0720000000001</v>
      </c>
      <c r="BX15" s="100">
        <f>0.41+2.18</f>
        <v>2.5900000000000003</v>
      </c>
      <c r="BY15" s="48">
        <f>BX15*12*BY35</f>
        <v>18927.720000000005</v>
      </c>
      <c r="BZ15" s="100">
        <f>0.41+1.85</f>
        <v>2.2600000000000002</v>
      </c>
      <c r="CA15" s="48">
        <f>$BZ$15*12*CA35</f>
        <v>15873.336000000001</v>
      </c>
      <c r="CB15" s="48">
        <f>$BZ$15*12*CB35</f>
        <v>15962.832000000004</v>
      </c>
      <c r="CC15" s="79" t="s">
        <v>150</v>
      </c>
      <c r="CD15" s="65" t="s">
        <v>19</v>
      </c>
      <c r="CE15" s="100">
        <v>0.49</v>
      </c>
      <c r="CF15" s="48">
        <f>CE15*12*$CF$35</f>
        <v>3399.8160000000003</v>
      </c>
    </row>
    <row r="16" spans="1:141" s="6" customFormat="1" ht="57.75" customHeight="1" x14ac:dyDescent="0.2">
      <c r="A16" s="32" t="s">
        <v>33</v>
      </c>
      <c r="B16" s="41" t="s">
        <v>8</v>
      </c>
      <c r="C16" s="65">
        <v>0.54</v>
      </c>
      <c r="D16" s="24">
        <f t="shared" ref="D16:J16" si="51">$C$16*12*D35</f>
        <v>2628.2880000000005</v>
      </c>
      <c r="E16" s="24">
        <f t="shared" si="51"/>
        <v>2667.8160000000003</v>
      </c>
      <c r="F16" s="24">
        <f t="shared" si="51"/>
        <v>3054.672</v>
      </c>
      <c r="G16" s="24">
        <f t="shared" si="51"/>
        <v>2620.5120000000002</v>
      </c>
      <c r="H16" s="24">
        <f t="shared" si="51"/>
        <v>4610.5200000000004</v>
      </c>
      <c r="I16" s="24">
        <f t="shared" si="51"/>
        <v>2174.6880000000001</v>
      </c>
      <c r="J16" s="24">
        <f t="shared" si="51"/>
        <v>3753.864</v>
      </c>
      <c r="K16" s="24">
        <f t="shared" ref="K16:N16" si="52">$C$16*12*K35</f>
        <v>1248.048</v>
      </c>
      <c r="L16" s="24">
        <f t="shared" si="52"/>
        <v>1225.3679999999999</v>
      </c>
      <c r="M16" s="24">
        <f t="shared" si="52"/>
        <v>3853.0080000000003</v>
      </c>
      <c r="N16" s="24">
        <f t="shared" si="52"/>
        <v>1104.8400000000001</v>
      </c>
      <c r="O16" s="32" t="s">
        <v>33</v>
      </c>
      <c r="P16" s="64" t="s">
        <v>8</v>
      </c>
      <c r="Q16" s="100">
        <v>0.54</v>
      </c>
      <c r="R16" s="48">
        <f t="shared" ref="R16:X16" si="53">$Q$16*12*R35</f>
        <v>2866.752</v>
      </c>
      <c r="S16" s="48">
        <f t="shared" si="53"/>
        <v>3460.32</v>
      </c>
      <c r="T16" s="48">
        <f t="shared" si="53"/>
        <v>3516.0480000000002</v>
      </c>
      <c r="U16" s="48">
        <f t="shared" si="53"/>
        <v>3913.92</v>
      </c>
      <c r="V16" s="48">
        <f t="shared" si="53"/>
        <v>3902.904</v>
      </c>
      <c r="W16" s="48">
        <f t="shared" si="53"/>
        <v>3473.28</v>
      </c>
      <c r="X16" s="48">
        <f t="shared" si="53"/>
        <v>3515.4</v>
      </c>
      <c r="Y16" s="48">
        <f t="shared" ref="Y16:AC16" si="54">$Q$16*12*Y35</f>
        <v>4116.0960000000005</v>
      </c>
      <c r="Z16" s="48">
        <f t="shared" si="54"/>
        <v>1325.808</v>
      </c>
      <c r="AA16" s="48">
        <f t="shared" si="54"/>
        <v>4258.0080000000007</v>
      </c>
      <c r="AB16" s="48">
        <f t="shared" si="54"/>
        <v>3070.2240000000002</v>
      </c>
      <c r="AC16" s="48">
        <f t="shared" si="54"/>
        <v>5713.4160000000011</v>
      </c>
      <c r="AD16" s="100">
        <f>0.54+0.46</f>
        <v>1</v>
      </c>
      <c r="AE16" s="48">
        <f>$AD$16*12*AE35</f>
        <v>2209.1999999999998</v>
      </c>
      <c r="AF16" s="48">
        <f>$AD$16*12*AF35</f>
        <v>6642</v>
      </c>
      <c r="AG16" s="100">
        <f>0.54+0.97</f>
        <v>1.51</v>
      </c>
      <c r="AH16" s="48">
        <f>AG16*12*AH35</f>
        <v>10859.315999999999</v>
      </c>
      <c r="AI16" s="100">
        <f>0.54+1.28</f>
        <v>1.82</v>
      </c>
      <c r="AJ16" s="48">
        <f>$AI$16*12*AJ35</f>
        <v>12907.44</v>
      </c>
      <c r="AK16" s="48">
        <f t="shared" ref="AK16:AL16" si="55">$AI$16*12*AK35</f>
        <v>25605.216</v>
      </c>
      <c r="AL16" s="48">
        <f t="shared" si="55"/>
        <v>12531.791999999999</v>
      </c>
      <c r="AM16" s="100">
        <f>0.54+1.11</f>
        <v>1.6500000000000001</v>
      </c>
      <c r="AN16" s="48">
        <f>AM16*12*AN35</f>
        <v>11192.939999999999</v>
      </c>
      <c r="AO16" s="61" t="s">
        <v>31</v>
      </c>
      <c r="AP16" s="52" t="s">
        <v>9</v>
      </c>
      <c r="AQ16" s="52">
        <v>0.71</v>
      </c>
      <c r="AR16" s="55">
        <f>$AQ$16*12*AR35</f>
        <v>3735.1679999999997</v>
      </c>
      <c r="AS16" s="30" t="s">
        <v>71</v>
      </c>
      <c r="AT16" s="64" t="s">
        <v>9</v>
      </c>
      <c r="AU16" s="65">
        <v>0.49</v>
      </c>
      <c r="AV16" s="24">
        <f>$AU$16*12*AV35</f>
        <v>3517.4160000000002</v>
      </c>
      <c r="AW16" s="24">
        <f t="shared" ref="AW16:BL16" si="56">$AU$16*12*AW35</f>
        <v>3266.34</v>
      </c>
      <c r="AX16" s="24">
        <f t="shared" si="56"/>
        <v>4318.8599999999997</v>
      </c>
      <c r="AY16" s="24">
        <f t="shared" si="56"/>
        <v>3392.7599999999998</v>
      </c>
      <c r="AZ16" s="24">
        <f t="shared" si="56"/>
        <v>3331.02</v>
      </c>
      <c r="BA16" s="24">
        <f t="shared" si="56"/>
        <v>4331.7960000000003</v>
      </c>
      <c r="BB16" s="24">
        <f t="shared" si="56"/>
        <v>1197.1679999999999</v>
      </c>
      <c r="BC16" s="24">
        <f t="shared" si="56"/>
        <v>3726.7439999999997</v>
      </c>
      <c r="BD16" s="24">
        <f t="shared" si="56"/>
        <v>2797.116</v>
      </c>
      <c r="BE16" s="24">
        <f t="shared" si="56"/>
        <v>2488.4159999999997</v>
      </c>
      <c r="BF16" s="24">
        <f t="shared" si="56"/>
        <v>3048.192</v>
      </c>
      <c r="BG16" s="24">
        <f t="shared" si="56"/>
        <v>3563.2799999999997</v>
      </c>
      <c r="BH16" s="24">
        <f t="shared" si="56"/>
        <v>3355.7160000000003</v>
      </c>
      <c r="BI16" s="24">
        <f t="shared" si="56"/>
        <v>3361.596</v>
      </c>
      <c r="BJ16" s="24">
        <f t="shared" si="56"/>
        <v>3436.2719999999999</v>
      </c>
      <c r="BK16" s="24">
        <f t="shared" si="56"/>
        <v>3519.768</v>
      </c>
      <c r="BL16" s="24">
        <f t="shared" si="56"/>
        <v>3583.86</v>
      </c>
      <c r="BM16" s="65">
        <v>0.49</v>
      </c>
      <c r="BN16" s="24">
        <f>$AU$16*12*BN35</f>
        <v>3943.1280000000002</v>
      </c>
      <c r="BO16" s="65">
        <v>0.49</v>
      </c>
      <c r="BP16" s="24">
        <f>$AU$16*12*BP35</f>
        <v>3528</v>
      </c>
      <c r="BQ16" s="79" t="s">
        <v>71</v>
      </c>
      <c r="BR16" s="65" t="s">
        <v>9</v>
      </c>
      <c r="BS16" s="100">
        <v>0.49</v>
      </c>
      <c r="BT16" s="48">
        <f>$BS$16*12*BT35</f>
        <v>3603.2639999999997</v>
      </c>
      <c r="BU16" s="48">
        <f t="shared" ref="BU16:CA16" si="57">$BS$16*12*BU35</f>
        <v>3389.232</v>
      </c>
      <c r="BV16" s="48">
        <f t="shared" si="57"/>
        <v>3382.1760000000004</v>
      </c>
      <c r="BW16" s="48">
        <f t="shared" si="57"/>
        <v>3302.2080000000001</v>
      </c>
      <c r="BX16" s="100">
        <v>0.49</v>
      </c>
      <c r="BY16" s="48">
        <f>$BS$16*12*BY35</f>
        <v>3580.92</v>
      </c>
      <c r="BZ16" s="100">
        <v>0.49</v>
      </c>
      <c r="CA16" s="48">
        <f t="shared" si="57"/>
        <v>3441.5639999999999</v>
      </c>
      <c r="CB16" s="48">
        <f t="shared" ref="CB16" si="58">$BS$16*12*CB35</f>
        <v>3460.9679999999998</v>
      </c>
      <c r="CC16" s="79" t="s">
        <v>151</v>
      </c>
      <c r="CD16" s="65" t="s">
        <v>9</v>
      </c>
      <c r="CE16" s="100">
        <v>0.51</v>
      </c>
      <c r="CF16" s="48">
        <f t="shared" ref="CF16:CF20" si="59">CE16*12*$CF$35</f>
        <v>3538.5840000000003</v>
      </c>
    </row>
    <row r="17" spans="1:89" s="1" customFormat="1" ht="38.25" customHeight="1" x14ac:dyDescent="0.2">
      <c r="A17" s="30" t="s">
        <v>34</v>
      </c>
      <c r="B17" s="29" t="s">
        <v>26</v>
      </c>
      <c r="C17" s="65">
        <v>0.06</v>
      </c>
      <c r="D17" s="24">
        <f t="shared" ref="D17:J17" si="60">$C$17*12*D35</f>
        <v>292.03199999999998</v>
      </c>
      <c r="E17" s="24">
        <f t="shared" si="60"/>
        <v>296.42399999999998</v>
      </c>
      <c r="F17" s="24">
        <f t="shared" si="60"/>
        <v>339.40799999999996</v>
      </c>
      <c r="G17" s="24">
        <f t="shared" si="60"/>
        <v>291.16799999999995</v>
      </c>
      <c r="H17" s="24">
        <f t="shared" si="60"/>
        <v>512.28</v>
      </c>
      <c r="I17" s="24">
        <f t="shared" si="60"/>
        <v>241.63200000000001</v>
      </c>
      <c r="J17" s="24">
        <f t="shared" si="60"/>
        <v>417.09599999999995</v>
      </c>
      <c r="K17" s="24">
        <f t="shared" ref="K17:N17" si="61">$C$17*12*K35</f>
        <v>138.672</v>
      </c>
      <c r="L17" s="24">
        <f t="shared" si="61"/>
        <v>136.15199999999999</v>
      </c>
      <c r="M17" s="24">
        <f t="shared" si="61"/>
        <v>428.11200000000002</v>
      </c>
      <c r="N17" s="24">
        <f t="shared" si="61"/>
        <v>122.75999999999999</v>
      </c>
      <c r="O17" s="30" t="s">
        <v>34</v>
      </c>
      <c r="P17" s="65" t="s">
        <v>26</v>
      </c>
      <c r="Q17" s="100">
        <v>0.06</v>
      </c>
      <c r="R17" s="48">
        <f t="shared" ref="R17:X17" si="62">$Q$17*12*R35</f>
        <v>318.52799999999996</v>
      </c>
      <c r="S17" s="48">
        <f t="shared" si="62"/>
        <v>384.47999999999996</v>
      </c>
      <c r="T17" s="48">
        <f t="shared" si="62"/>
        <v>390.67200000000003</v>
      </c>
      <c r="U17" s="48">
        <f t="shared" si="62"/>
        <v>434.88</v>
      </c>
      <c r="V17" s="48">
        <f t="shared" si="62"/>
        <v>433.65599999999995</v>
      </c>
      <c r="W17" s="48">
        <f t="shared" si="62"/>
        <v>385.91999999999996</v>
      </c>
      <c r="X17" s="48">
        <f t="shared" si="62"/>
        <v>390.59999999999997</v>
      </c>
      <c r="Y17" s="48">
        <f t="shared" ref="Y17:AC17" si="63">$Q$17*12*Y35</f>
        <v>457.34399999999999</v>
      </c>
      <c r="Z17" s="48">
        <f t="shared" si="63"/>
        <v>147.31199999999998</v>
      </c>
      <c r="AA17" s="48">
        <f t="shared" si="63"/>
        <v>473.11200000000002</v>
      </c>
      <c r="AB17" s="48">
        <f t="shared" si="63"/>
        <v>341.13599999999997</v>
      </c>
      <c r="AC17" s="48">
        <f t="shared" si="63"/>
        <v>634.82399999999996</v>
      </c>
      <c r="AD17" s="100">
        <v>0.06</v>
      </c>
      <c r="AE17" s="48">
        <f>$Q$17*12*AE35</f>
        <v>132.55199999999999</v>
      </c>
      <c r="AF17" s="48">
        <f>$Q$17*12*AF35</f>
        <v>398.52</v>
      </c>
      <c r="AG17" s="100">
        <v>0.06</v>
      </c>
      <c r="AH17" s="48">
        <f>$Q$17*12*AH35</f>
        <v>431.49599999999992</v>
      </c>
      <c r="AI17" s="100">
        <v>0.06</v>
      </c>
      <c r="AJ17" s="48">
        <f>$Q$17*12*AJ35</f>
        <v>425.52</v>
      </c>
      <c r="AK17" s="48">
        <f>$Q$17*12*AK35</f>
        <v>844.12800000000004</v>
      </c>
      <c r="AL17" s="48">
        <f>$Q$17*12*AL35</f>
        <v>413.13599999999997</v>
      </c>
      <c r="AM17" s="100">
        <v>0.06</v>
      </c>
      <c r="AN17" s="48">
        <f>$Q$17*12*AN35</f>
        <v>407.01599999999996</v>
      </c>
      <c r="AO17" s="61" t="s">
        <v>32</v>
      </c>
      <c r="AP17" s="52" t="s">
        <v>20</v>
      </c>
      <c r="AQ17" s="52">
        <v>0.43</v>
      </c>
      <c r="AR17" s="55">
        <f>$AQ$17*AR35*12</f>
        <v>2262.1440000000002</v>
      </c>
      <c r="AS17" s="30" t="s">
        <v>72</v>
      </c>
      <c r="AT17" s="64" t="s">
        <v>20</v>
      </c>
      <c r="AU17" s="65">
        <v>0.37</v>
      </c>
      <c r="AV17" s="24">
        <f>$AU$17*12*AV35</f>
        <v>2656.0079999999998</v>
      </c>
      <c r="AW17" s="24">
        <f t="shared" ref="AW17:BL17" si="64">$AU$17*12*AW35</f>
        <v>2466.4199999999996</v>
      </c>
      <c r="AX17" s="24">
        <f t="shared" si="64"/>
        <v>3261.18</v>
      </c>
      <c r="AY17" s="24">
        <f t="shared" si="64"/>
        <v>2561.8799999999997</v>
      </c>
      <c r="AZ17" s="24">
        <f t="shared" si="64"/>
        <v>2515.2599999999998</v>
      </c>
      <c r="BA17" s="24">
        <f t="shared" si="64"/>
        <v>3270.9479999999999</v>
      </c>
      <c r="BB17" s="24">
        <f t="shared" si="64"/>
        <v>903.98399999999992</v>
      </c>
      <c r="BC17" s="24">
        <f t="shared" si="64"/>
        <v>2814.0719999999997</v>
      </c>
      <c r="BD17" s="24">
        <f t="shared" si="64"/>
        <v>2112.1079999999997</v>
      </c>
      <c r="BE17" s="24">
        <f t="shared" si="64"/>
        <v>1879.0079999999998</v>
      </c>
      <c r="BF17" s="24">
        <f t="shared" si="64"/>
        <v>2301.6959999999995</v>
      </c>
      <c r="BG17" s="24">
        <f t="shared" si="64"/>
        <v>2690.64</v>
      </c>
      <c r="BH17" s="24">
        <f t="shared" si="64"/>
        <v>2533.9079999999999</v>
      </c>
      <c r="BI17" s="24">
        <f t="shared" si="64"/>
        <v>2538.348</v>
      </c>
      <c r="BJ17" s="24">
        <f t="shared" si="64"/>
        <v>2594.7359999999994</v>
      </c>
      <c r="BK17" s="24">
        <f t="shared" si="64"/>
        <v>2657.7839999999997</v>
      </c>
      <c r="BL17" s="24">
        <f t="shared" si="64"/>
        <v>2706.18</v>
      </c>
      <c r="BM17" s="65">
        <f>0.37+1.96</f>
        <v>2.33</v>
      </c>
      <c r="BN17" s="24">
        <f>BM17*12*BN35</f>
        <v>18749.976000000002</v>
      </c>
      <c r="BO17" s="65">
        <f>0.37+2.55</f>
        <v>2.92</v>
      </c>
      <c r="BP17" s="24">
        <f>BO17*12*BP35</f>
        <v>21024</v>
      </c>
      <c r="BQ17" s="79" t="s">
        <v>72</v>
      </c>
      <c r="BR17" s="65" t="s">
        <v>20</v>
      </c>
      <c r="BS17" s="100">
        <v>0.37</v>
      </c>
      <c r="BT17" s="48">
        <f>$BS$17*12*BT35</f>
        <v>2720.8319999999994</v>
      </c>
      <c r="BU17" s="48">
        <f t="shared" ref="BU17:BW17" si="65">$BS$17*12*BU35</f>
        <v>2559.2159999999994</v>
      </c>
      <c r="BV17" s="48">
        <f t="shared" si="65"/>
        <v>2553.8879999999999</v>
      </c>
      <c r="BW17" s="48">
        <f t="shared" si="65"/>
        <v>2493.5039999999999</v>
      </c>
      <c r="BX17" s="100">
        <f>0.37+1.96</f>
        <v>2.33</v>
      </c>
      <c r="BY17" s="48">
        <f>BX17*12*BY35</f>
        <v>17027.64</v>
      </c>
      <c r="BZ17" s="100">
        <f>0.37+1.51</f>
        <v>1.88</v>
      </c>
      <c r="CA17" s="48">
        <f>$BZ$17*12*CA35</f>
        <v>13204.367999999999</v>
      </c>
      <c r="CB17" s="48">
        <f>$BZ$17*12*CB35</f>
        <v>13278.815999999999</v>
      </c>
      <c r="CC17" s="79" t="s">
        <v>72</v>
      </c>
      <c r="CD17" s="65" t="s">
        <v>20</v>
      </c>
      <c r="CE17" s="100">
        <v>0.39</v>
      </c>
      <c r="CF17" s="48">
        <f t="shared" si="59"/>
        <v>2705.9760000000001</v>
      </c>
    </row>
    <row r="18" spans="1:89" s="1" customFormat="1" ht="36" x14ac:dyDescent="0.2">
      <c r="A18" s="30" t="s">
        <v>35</v>
      </c>
      <c r="B18" s="42" t="s">
        <v>36</v>
      </c>
      <c r="C18" s="65">
        <v>3.34</v>
      </c>
      <c r="D18" s="24">
        <f t="shared" ref="D18:J18" si="66">$C$18*12*D35</f>
        <v>16256.448</v>
      </c>
      <c r="E18" s="24">
        <f t="shared" si="66"/>
        <v>16500.935999999998</v>
      </c>
      <c r="F18" s="24">
        <f t="shared" si="66"/>
        <v>18893.712</v>
      </c>
      <c r="G18" s="24">
        <f t="shared" si="66"/>
        <v>16208.351999999999</v>
      </c>
      <c r="H18" s="24">
        <f t="shared" si="66"/>
        <v>28516.92</v>
      </c>
      <c r="I18" s="24">
        <f t="shared" si="66"/>
        <v>13450.848</v>
      </c>
      <c r="J18" s="24">
        <f t="shared" si="66"/>
        <v>23218.343999999997</v>
      </c>
      <c r="K18" s="24">
        <f t="shared" ref="K18:N18" si="67">$C$18*12*K35</f>
        <v>7719.4079999999994</v>
      </c>
      <c r="L18" s="24">
        <f t="shared" si="67"/>
        <v>7579.1279999999997</v>
      </c>
      <c r="M18" s="24">
        <f t="shared" si="67"/>
        <v>23831.567999999999</v>
      </c>
      <c r="N18" s="24">
        <f t="shared" si="67"/>
        <v>6833.6399999999994</v>
      </c>
      <c r="O18" s="79" t="s">
        <v>35</v>
      </c>
      <c r="P18" s="64" t="s">
        <v>36</v>
      </c>
      <c r="Q18" s="100">
        <v>3.34</v>
      </c>
      <c r="R18" s="48">
        <f t="shared" ref="R18:X18" si="68">$Q$18*12*R35</f>
        <v>17731.392</v>
      </c>
      <c r="S18" s="48">
        <f t="shared" si="68"/>
        <v>21402.719999999998</v>
      </c>
      <c r="T18" s="48">
        <f t="shared" si="68"/>
        <v>21747.407999999999</v>
      </c>
      <c r="U18" s="48">
        <f t="shared" si="68"/>
        <v>24208.32</v>
      </c>
      <c r="V18" s="48">
        <f t="shared" si="68"/>
        <v>24140.183999999997</v>
      </c>
      <c r="W18" s="48">
        <f t="shared" si="68"/>
        <v>21482.879999999997</v>
      </c>
      <c r="X18" s="48">
        <f t="shared" si="68"/>
        <v>21743.399999999998</v>
      </c>
      <c r="Y18" s="48">
        <f t="shared" ref="Y18:AC18" si="69">$Q$18*12*Y35</f>
        <v>25458.816000000003</v>
      </c>
      <c r="Z18" s="48">
        <f t="shared" si="69"/>
        <v>8200.3679999999986</v>
      </c>
      <c r="AA18" s="48">
        <f t="shared" si="69"/>
        <v>26336.567999999999</v>
      </c>
      <c r="AB18" s="48">
        <f t="shared" si="69"/>
        <v>18989.903999999999</v>
      </c>
      <c r="AC18" s="48">
        <f t="shared" si="69"/>
        <v>35338.536</v>
      </c>
      <c r="AD18" s="100">
        <v>3.34</v>
      </c>
      <c r="AE18" s="48">
        <f>$Q$18*12*AE35</f>
        <v>7378.7279999999992</v>
      </c>
      <c r="AF18" s="48">
        <f>$Q$18*12*AF35</f>
        <v>22184.28</v>
      </c>
      <c r="AG18" s="100">
        <v>3.34</v>
      </c>
      <c r="AH18" s="48">
        <f>$Q$18*12*AH35</f>
        <v>24019.943999999996</v>
      </c>
      <c r="AI18" s="100">
        <v>3.34</v>
      </c>
      <c r="AJ18" s="48">
        <f>$Q$18*12*AJ35</f>
        <v>23687.279999999999</v>
      </c>
      <c r="AK18" s="48">
        <f>$Q$18*12*AK35</f>
        <v>46989.792000000001</v>
      </c>
      <c r="AL18" s="48">
        <f>$Q$18*12*AL35</f>
        <v>22997.903999999999</v>
      </c>
      <c r="AM18" s="100">
        <v>3.34</v>
      </c>
      <c r="AN18" s="48">
        <f>$Q$18*12*AN35</f>
        <v>22657.223999999998</v>
      </c>
      <c r="AO18" s="61" t="s">
        <v>33</v>
      </c>
      <c r="AP18" s="52" t="s">
        <v>8</v>
      </c>
      <c r="AQ18" s="52">
        <v>0.56999999999999995</v>
      </c>
      <c r="AR18" s="55">
        <f>$AQ$18*12*AR35</f>
        <v>2998.6559999999999</v>
      </c>
      <c r="AS18" s="32" t="s">
        <v>73</v>
      </c>
      <c r="AT18" s="64" t="s">
        <v>8</v>
      </c>
      <c r="AU18" s="65">
        <v>0.6</v>
      </c>
      <c r="AV18" s="24">
        <f>$AU$18*12*AV35</f>
        <v>4307.04</v>
      </c>
      <c r="AW18" s="24">
        <f t="shared" ref="AW18:BL18" si="70">$AU$18*12*AW35</f>
        <v>3999.5999999999995</v>
      </c>
      <c r="AX18" s="24">
        <f t="shared" si="70"/>
        <v>5288.4</v>
      </c>
      <c r="AY18" s="24">
        <f t="shared" si="70"/>
        <v>4154.3999999999996</v>
      </c>
      <c r="AZ18" s="24">
        <f t="shared" si="70"/>
        <v>4078.7999999999997</v>
      </c>
      <c r="BA18" s="24">
        <f t="shared" si="70"/>
        <v>5304.24</v>
      </c>
      <c r="BB18" s="24">
        <f t="shared" si="70"/>
        <v>1465.9199999999998</v>
      </c>
      <c r="BC18" s="24">
        <f t="shared" si="70"/>
        <v>4563.3599999999997</v>
      </c>
      <c r="BD18" s="24">
        <f t="shared" si="70"/>
        <v>3425.0399999999995</v>
      </c>
      <c r="BE18" s="24">
        <f t="shared" si="70"/>
        <v>3047.0399999999995</v>
      </c>
      <c r="BF18" s="24">
        <f t="shared" si="70"/>
        <v>3732.4799999999996</v>
      </c>
      <c r="BG18" s="24">
        <f t="shared" si="70"/>
        <v>4363.2</v>
      </c>
      <c r="BH18" s="24">
        <f t="shared" si="70"/>
        <v>4109.04</v>
      </c>
      <c r="BI18" s="24">
        <f t="shared" si="70"/>
        <v>4116.24</v>
      </c>
      <c r="BJ18" s="24">
        <f t="shared" si="70"/>
        <v>4207.6799999999994</v>
      </c>
      <c r="BK18" s="24">
        <f t="shared" si="70"/>
        <v>4309.92</v>
      </c>
      <c r="BL18" s="24">
        <f t="shared" si="70"/>
        <v>4388.3999999999996</v>
      </c>
      <c r="BM18" s="65">
        <f>0.6+1.11</f>
        <v>1.71</v>
      </c>
      <c r="BN18" s="24">
        <f>BM18*12*BN35</f>
        <v>13760.712</v>
      </c>
      <c r="BO18" s="65">
        <f>0.6+1.95</f>
        <v>2.5499999999999998</v>
      </c>
      <c r="BP18" s="24">
        <f>BO18*12*BP35</f>
        <v>18360</v>
      </c>
      <c r="BQ18" s="32" t="s">
        <v>73</v>
      </c>
      <c r="BR18" s="64" t="s">
        <v>8</v>
      </c>
      <c r="BS18" s="100">
        <v>0.6</v>
      </c>
      <c r="BT18" s="48">
        <f>$BS$18*12*BT35</f>
        <v>4412.1599999999989</v>
      </c>
      <c r="BU18" s="48">
        <f t="shared" ref="BU18:BW18" si="71">$BS$18*12*BU35</f>
        <v>4150.079999999999</v>
      </c>
      <c r="BV18" s="48">
        <f t="shared" si="71"/>
        <v>4141.4399999999996</v>
      </c>
      <c r="BW18" s="48">
        <f t="shared" si="71"/>
        <v>4043.52</v>
      </c>
      <c r="BX18" s="100">
        <f>0.6+1.11</f>
        <v>1.71</v>
      </c>
      <c r="BY18" s="48">
        <f>BX18*12*BY35</f>
        <v>12496.68</v>
      </c>
      <c r="BZ18" s="100">
        <f>0.6+0.97</f>
        <v>1.5699999999999998</v>
      </c>
      <c r="CA18" s="48">
        <f>$BZ$18*12*CA35</f>
        <v>11027.051999999998</v>
      </c>
      <c r="CB18" s="48">
        <f>$BZ$18*12*CB35</f>
        <v>11089.223999999998</v>
      </c>
      <c r="CC18" s="32" t="s">
        <v>73</v>
      </c>
      <c r="CD18" s="64" t="s">
        <v>8</v>
      </c>
      <c r="CE18" s="100">
        <v>0.62</v>
      </c>
      <c r="CF18" s="48">
        <f t="shared" si="59"/>
        <v>4301.808</v>
      </c>
    </row>
    <row r="19" spans="1:89" s="23" customFormat="1" ht="49.5" customHeight="1" x14ac:dyDescent="0.2">
      <c r="A19" s="30" t="s">
        <v>37</v>
      </c>
      <c r="B19" s="29" t="s">
        <v>3</v>
      </c>
      <c r="C19" s="65">
        <v>4.04</v>
      </c>
      <c r="D19" s="24">
        <f t="shared" ref="D19:J19" si="72">$C$19*12*D35</f>
        <v>19663.488000000001</v>
      </c>
      <c r="E19" s="24">
        <f t="shared" si="72"/>
        <v>19959.216</v>
      </c>
      <c r="F19" s="24">
        <f t="shared" si="72"/>
        <v>22853.472000000002</v>
      </c>
      <c r="G19" s="24">
        <f t="shared" si="72"/>
        <v>19605.312000000002</v>
      </c>
      <c r="H19" s="24">
        <f t="shared" si="72"/>
        <v>34493.520000000004</v>
      </c>
      <c r="I19" s="24">
        <f t="shared" si="72"/>
        <v>16269.888000000003</v>
      </c>
      <c r="J19" s="24">
        <f t="shared" si="72"/>
        <v>28084.464</v>
      </c>
      <c r="K19" s="24">
        <f t="shared" ref="K19:N19" si="73">$C$19*12*K35</f>
        <v>9337.2479999999996</v>
      </c>
      <c r="L19" s="24">
        <f t="shared" si="73"/>
        <v>9167.5680000000011</v>
      </c>
      <c r="M19" s="24">
        <f t="shared" si="73"/>
        <v>28826.208000000002</v>
      </c>
      <c r="N19" s="24">
        <f t="shared" si="73"/>
        <v>8265.84</v>
      </c>
      <c r="O19" s="79" t="s">
        <v>37</v>
      </c>
      <c r="P19" s="65" t="s">
        <v>3</v>
      </c>
      <c r="Q19" s="100">
        <v>4.04</v>
      </c>
      <c r="R19" s="48">
        <f t="shared" ref="R19:X19" si="74">$Q$19*R35*12</f>
        <v>21447.551999999996</v>
      </c>
      <c r="S19" s="48">
        <f t="shared" si="74"/>
        <v>25888.32</v>
      </c>
      <c r="T19" s="48">
        <f t="shared" si="74"/>
        <v>26305.248000000003</v>
      </c>
      <c r="U19" s="48">
        <f t="shared" si="74"/>
        <v>29281.919999999998</v>
      </c>
      <c r="V19" s="48">
        <f t="shared" si="74"/>
        <v>29199.504000000001</v>
      </c>
      <c r="W19" s="48">
        <f t="shared" si="74"/>
        <v>25985.279999999999</v>
      </c>
      <c r="X19" s="48">
        <f t="shared" si="74"/>
        <v>26300.399999999998</v>
      </c>
      <c r="Y19" s="48">
        <f t="shared" ref="Y19:AC19" si="75">$Q$19*Y35*12</f>
        <v>30794.495999999999</v>
      </c>
      <c r="Z19" s="48">
        <f t="shared" si="75"/>
        <v>9919.0079999999998</v>
      </c>
      <c r="AA19" s="48">
        <f t="shared" si="75"/>
        <v>31856.208000000002</v>
      </c>
      <c r="AB19" s="48">
        <f t="shared" si="75"/>
        <v>22969.824000000001</v>
      </c>
      <c r="AC19" s="48">
        <f t="shared" si="75"/>
        <v>42744.816000000006</v>
      </c>
      <c r="AD19" s="100">
        <v>4.04</v>
      </c>
      <c r="AE19" s="48">
        <f>$Q$19*AE35*12</f>
        <v>8925.1679999999997</v>
      </c>
      <c r="AF19" s="48">
        <f>$Q$19*AF35*12</f>
        <v>26833.68</v>
      </c>
      <c r="AG19" s="100">
        <v>4.04</v>
      </c>
      <c r="AH19" s="48">
        <f>$Q$19*AH35*12</f>
        <v>29054.063999999998</v>
      </c>
      <c r="AI19" s="100">
        <v>4.04</v>
      </c>
      <c r="AJ19" s="48">
        <f>$Q$19*AJ35*12</f>
        <v>28651.68</v>
      </c>
      <c r="AK19" s="48">
        <f>$Q$19*AK35*12</f>
        <v>56837.952000000005</v>
      </c>
      <c r="AL19" s="48">
        <f>$Q$19*AL35*12</f>
        <v>27817.824000000001</v>
      </c>
      <c r="AM19" s="100">
        <v>4.04</v>
      </c>
      <c r="AN19" s="48">
        <f>$Q$19*AN35*12</f>
        <v>27405.743999999999</v>
      </c>
      <c r="AO19" s="61" t="s">
        <v>34</v>
      </c>
      <c r="AP19" s="52" t="s">
        <v>26</v>
      </c>
      <c r="AQ19" s="52">
        <v>0.1</v>
      </c>
      <c r="AR19" s="55">
        <f>$AQ$19*12*AR35</f>
        <v>526.08000000000004</v>
      </c>
      <c r="AS19" s="30" t="s">
        <v>74</v>
      </c>
      <c r="AT19" s="64" t="s">
        <v>69</v>
      </c>
      <c r="AU19" s="65">
        <v>7.0000000000000007E-2</v>
      </c>
      <c r="AV19" s="24">
        <f>$AU$19*12*AV35</f>
        <v>502.48800000000011</v>
      </c>
      <c r="AW19" s="24">
        <f t="shared" ref="AW19:BL19" si="76">$AU$19*12*AW35</f>
        <v>466.62000000000006</v>
      </c>
      <c r="AX19" s="24">
        <f t="shared" si="76"/>
        <v>616.98</v>
      </c>
      <c r="AY19" s="24">
        <f t="shared" si="76"/>
        <v>484.68000000000006</v>
      </c>
      <c r="AZ19" s="24">
        <f t="shared" si="76"/>
        <v>475.86000000000007</v>
      </c>
      <c r="BA19" s="24">
        <f t="shared" si="76"/>
        <v>618.82800000000009</v>
      </c>
      <c r="BB19" s="24">
        <f t="shared" si="76"/>
        <v>171.024</v>
      </c>
      <c r="BC19" s="24">
        <f t="shared" si="76"/>
        <v>532.39200000000005</v>
      </c>
      <c r="BD19" s="24">
        <f t="shared" si="76"/>
        <v>399.58800000000002</v>
      </c>
      <c r="BE19" s="24">
        <f t="shared" si="76"/>
        <v>355.488</v>
      </c>
      <c r="BF19" s="24">
        <f t="shared" si="76"/>
        <v>435.45600000000002</v>
      </c>
      <c r="BG19" s="24">
        <f t="shared" si="76"/>
        <v>509.04</v>
      </c>
      <c r="BH19" s="24">
        <f t="shared" si="76"/>
        <v>479.38800000000009</v>
      </c>
      <c r="BI19" s="24">
        <f t="shared" si="76"/>
        <v>480.22800000000007</v>
      </c>
      <c r="BJ19" s="24">
        <f t="shared" si="76"/>
        <v>490.89600000000002</v>
      </c>
      <c r="BK19" s="24">
        <f t="shared" si="76"/>
        <v>502.82400000000007</v>
      </c>
      <c r="BL19" s="24">
        <f t="shared" si="76"/>
        <v>511.98000000000008</v>
      </c>
      <c r="BM19" s="65">
        <v>7.0000000000000007E-2</v>
      </c>
      <c r="BN19" s="24">
        <f>$AU$19*12*BN35</f>
        <v>563.30400000000009</v>
      </c>
      <c r="BO19" s="65">
        <v>7.0000000000000007E-2</v>
      </c>
      <c r="BP19" s="24">
        <f>$AU$19*12*BP35</f>
        <v>504.00000000000006</v>
      </c>
      <c r="BQ19" s="30" t="s">
        <v>74</v>
      </c>
      <c r="BR19" s="65" t="s">
        <v>69</v>
      </c>
      <c r="BS19" s="100">
        <v>7.0000000000000007E-2</v>
      </c>
      <c r="BT19" s="48">
        <f>$BS$19*12*BT35</f>
        <v>514.75200000000007</v>
      </c>
      <c r="BU19" s="48">
        <f t="shared" ref="BU19:CA19" si="77">$BS$19*12*BU35</f>
        <v>484.17600000000004</v>
      </c>
      <c r="BV19" s="48">
        <f t="shared" si="77"/>
        <v>483.16800000000006</v>
      </c>
      <c r="BW19" s="48">
        <f t="shared" si="77"/>
        <v>471.74400000000009</v>
      </c>
      <c r="BX19" s="100">
        <v>7.0000000000000007E-2</v>
      </c>
      <c r="BY19" s="48">
        <f>$BS$19*12*BY35</f>
        <v>511.56000000000006</v>
      </c>
      <c r="BZ19" s="100">
        <v>7.0000000000000007E-2</v>
      </c>
      <c r="CA19" s="48">
        <f t="shared" si="77"/>
        <v>491.65199999999999</v>
      </c>
      <c r="CB19" s="48">
        <f t="shared" ref="CB19" si="78">$BS$19*12*CB35</f>
        <v>494.42400000000009</v>
      </c>
      <c r="CC19" s="30" t="s">
        <v>74</v>
      </c>
      <c r="CD19" s="65" t="s">
        <v>26</v>
      </c>
      <c r="CE19" s="100">
        <v>0.08</v>
      </c>
      <c r="CF19" s="48">
        <f t="shared" si="59"/>
        <v>555.072</v>
      </c>
    </row>
    <row r="20" spans="1:89" s="103" customFormat="1" ht="64.5" customHeight="1" x14ac:dyDescent="0.2">
      <c r="A20" s="32"/>
      <c r="B20" s="29"/>
      <c r="C20" s="6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80" t="s">
        <v>123</v>
      </c>
      <c r="P20" s="65" t="s">
        <v>26</v>
      </c>
      <c r="Q20" s="100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100"/>
      <c r="AE20" s="48"/>
      <c r="AF20" s="48"/>
      <c r="AG20" s="100">
        <v>0.47</v>
      </c>
      <c r="AH20" s="48">
        <f>AG20*12*AH35</f>
        <v>3380.0519999999997</v>
      </c>
      <c r="AI20" s="100">
        <v>0.97</v>
      </c>
      <c r="AJ20" s="48">
        <f>$AI$20*12*AJ35</f>
        <v>6879.2400000000007</v>
      </c>
      <c r="AK20" s="48">
        <f t="shared" ref="AK20:AL20" si="79">$AI$20*12*AK35</f>
        <v>13646.736000000003</v>
      </c>
      <c r="AL20" s="48">
        <f t="shared" si="79"/>
        <v>6679.0320000000002</v>
      </c>
      <c r="AM20" s="100">
        <v>0.64</v>
      </c>
      <c r="AN20" s="48">
        <f>AM20*12*AN35</f>
        <v>4341.5039999999999</v>
      </c>
      <c r="AO20" s="61" t="s">
        <v>35</v>
      </c>
      <c r="AP20" s="52" t="s">
        <v>36</v>
      </c>
      <c r="AQ20" s="52">
        <v>3.34</v>
      </c>
      <c r="AR20" s="55">
        <f>$AQ$20*12*AR35</f>
        <v>17571.072</v>
      </c>
      <c r="AS20" s="30" t="s">
        <v>75</v>
      </c>
      <c r="AT20" s="64" t="s">
        <v>76</v>
      </c>
      <c r="AU20" s="65">
        <v>2.4900000000000002</v>
      </c>
      <c r="AV20" s="24">
        <f>$AU$20*12*AV35</f>
        <v>17874.216000000004</v>
      </c>
      <c r="AW20" s="24">
        <f t="shared" ref="AW20:BL20" si="80">$AU$20*12*AW35</f>
        <v>16598.34</v>
      </c>
      <c r="AX20" s="24">
        <f t="shared" si="80"/>
        <v>21946.86</v>
      </c>
      <c r="AY20" s="24">
        <f t="shared" si="80"/>
        <v>17240.760000000002</v>
      </c>
      <c r="AZ20" s="24">
        <f t="shared" si="80"/>
        <v>16927.02</v>
      </c>
      <c r="BA20" s="24">
        <f t="shared" si="80"/>
        <v>22012.596000000005</v>
      </c>
      <c r="BB20" s="24">
        <f t="shared" si="80"/>
        <v>6083.5680000000002</v>
      </c>
      <c r="BC20" s="24">
        <f t="shared" si="80"/>
        <v>18937.944</v>
      </c>
      <c r="BD20" s="24">
        <f t="shared" si="80"/>
        <v>14213.916000000001</v>
      </c>
      <c r="BE20" s="24">
        <f t="shared" si="80"/>
        <v>12645.216</v>
      </c>
      <c r="BF20" s="24">
        <f t="shared" si="80"/>
        <v>15489.792000000001</v>
      </c>
      <c r="BG20" s="24">
        <f t="shared" si="80"/>
        <v>18107.280000000002</v>
      </c>
      <c r="BH20" s="24">
        <f t="shared" si="80"/>
        <v>17052.516000000003</v>
      </c>
      <c r="BI20" s="24">
        <f t="shared" si="80"/>
        <v>17082.396000000004</v>
      </c>
      <c r="BJ20" s="24">
        <f t="shared" si="80"/>
        <v>17461.871999999999</v>
      </c>
      <c r="BK20" s="24">
        <f t="shared" si="80"/>
        <v>17886.168000000001</v>
      </c>
      <c r="BL20" s="24">
        <f t="shared" si="80"/>
        <v>18211.86</v>
      </c>
      <c r="BM20" s="65">
        <v>2.4900000000000002</v>
      </c>
      <c r="BN20" s="24">
        <f>$AU$20*12*BN35</f>
        <v>20037.528000000002</v>
      </c>
      <c r="BO20" s="65">
        <v>2.4900000000000002</v>
      </c>
      <c r="BP20" s="24">
        <f>$AU$20*12*BP35</f>
        <v>17928</v>
      </c>
      <c r="BQ20" s="79" t="s">
        <v>75</v>
      </c>
      <c r="BR20" s="64" t="s">
        <v>76</v>
      </c>
      <c r="BS20" s="100">
        <v>2.4900000000000002</v>
      </c>
      <c r="BT20" s="48">
        <f>$BS$20*12*BT35</f>
        <v>18310.464</v>
      </c>
      <c r="BU20" s="48">
        <f t="shared" ref="BU20:CA20" si="81">$BS$20*12*BU35</f>
        <v>17222.832000000002</v>
      </c>
      <c r="BV20" s="48">
        <f t="shared" si="81"/>
        <v>17186.976000000002</v>
      </c>
      <c r="BW20" s="48">
        <f t="shared" si="81"/>
        <v>16780.608000000004</v>
      </c>
      <c r="BX20" s="100">
        <v>2.4900000000000002</v>
      </c>
      <c r="BY20" s="48">
        <f>$BS$20*12*BY35</f>
        <v>18196.920000000002</v>
      </c>
      <c r="BZ20" s="100">
        <v>2.4900000000000002</v>
      </c>
      <c r="CA20" s="48">
        <f t="shared" si="81"/>
        <v>17488.763999999999</v>
      </c>
      <c r="CB20" s="48">
        <f t="shared" ref="CB20" si="82">$BS$20*12*CB35</f>
        <v>17587.368000000002</v>
      </c>
      <c r="CC20" s="79" t="s">
        <v>75</v>
      </c>
      <c r="CD20" s="64" t="s">
        <v>152</v>
      </c>
      <c r="CE20" s="100">
        <v>2.4900000000000002</v>
      </c>
      <c r="CF20" s="48">
        <f t="shared" si="59"/>
        <v>17276.616000000002</v>
      </c>
    </row>
    <row r="21" spans="1:89" s="23" customFormat="1" ht="12.75" customHeight="1" x14ac:dyDescent="0.2">
      <c r="A21" s="32"/>
      <c r="B21" s="29"/>
      <c r="C21" s="6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80"/>
      <c r="P21" s="65"/>
      <c r="Q21" s="100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100"/>
      <c r="AE21" s="48"/>
      <c r="AF21" s="48"/>
      <c r="AG21" s="100"/>
      <c r="AH21" s="48"/>
      <c r="AI21" s="100"/>
      <c r="AJ21" s="48"/>
      <c r="AK21" s="48"/>
      <c r="AL21" s="48"/>
      <c r="AM21" s="100"/>
      <c r="AN21" s="48"/>
      <c r="AO21" s="61" t="s">
        <v>37</v>
      </c>
      <c r="AP21" s="52" t="s">
        <v>3</v>
      </c>
      <c r="AQ21" s="52">
        <v>4.04</v>
      </c>
      <c r="AR21" s="55">
        <f>$AQ$21*12*AR35</f>
        <v>21253.632000000001</v>
      </c>
      <c r="AS21" s="80" t="s">
        <v>123</v>
      </c>
      <c r="AT21" s="65" t="s">
        <v>26</v>
      </c>
      <c r="AU21" s="67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5">
        <v>0.64</v>
      </c>
      <c r="BN21" s="24">
        <f>BM21*12*BN35</f>
        <v>5150.2079999999996</v>
      </c>
      <c r="BO21" s="65">
        <v>1.1499999999999999</v>
      </c>
      <c r="BP21" s="24">
        <f>BO21*12*BP35</f>
        <v>8280</v>
      </c>
      <c r="BQ21" s="80" t="s">
        <v>123</v>
      </c>
      <c r="BR21" s="65" t="s">
        <v>26</v>
      </c>
      <c r="BS21" s="100"/>
      <c r="BT21" s="48"/>
      <c r="BU21" s="48"/>
      <c r="BV21" s="48"/>
      <c r="BW21" s="48"/>
      <c r="BX21" s="100">
        <v>0.64</v>
      </c>
      <c r="BY21" s="48">
        <f>BX21*12*BY35</f>
        <v>4677.12</v>
      </c>
      <c r="BZ21" s="100">
        <v>0.47</v>
      </c>
      <c r="CA21" s="48">
        <f>$BZ$21*12*CA35</f>
        <v>3301.0919999999996</v>
      </c>
      <c r="CB21" s="48">
        <f>$BZ$21*12*CB35</f>
        <v>3319.7039999999997</v>
      </c>
      <c r="CC21" s="30" t="s">
        <v>153</v>
      </c>
      <c r="CD21" s="64" t="s">
        <v>154</v>
      </c>
      <c r="CE21" s="100"/>
      <c r="CF21" s="48"/>
    </row>
    <row r="22" spans="1:89" s="1" customFormat="1" ht="27" customHeight="1" x14ac:dyDescent="0.2">
      <c r="A22" s="31" t="s">
        <v>7</v>
      </c>
      <c r="B22" s="40"/>
      <c r="C22" s="69">
        <f>SUM(C23:C25)</f>
        <v>3.36</v>
      </c>
      <c r="D22" s="66">
        <f>SUM(D23:D25)</f>
        <v>16353.792000000001</v>
      </c>
      <c r="E22" s="66">
        <f t="shared" ref="E22:F22" si="83">SUM(E23:E25)</f>
        <v>16599.743999999999</v>
      </c>
      <c r="F22" s="66">
        <f t="shared" si="83"/>
        <v>19006.847999999998</v>
      </c>
      <c r="G22" s="66">
        <f t="shared" ref="G22:H22" si="84">SUM(G23:G25)</f>
        <v>16305.407999999999</v>
      </c>
      <c r="H22" s="66">
        <f t="shared" si="84"/>
        <v>28687.68</v>
      </c>
      <c r="I22" s="66">
        <f t="shared" ref="I22:J22" si="85">SUM(I23:I25)</f>
        <v>13531.392</v>
      </c>
      <c r="J22" s="66">
        <f t="shared" si="85"/>
        <v>23357.375999999997</v>
      </c>
      <c r="K22" s="66">
        <f t="shared" ref="K22:N22" si="86">SUM(K23:K25)</f>
        <v>7765.6319999999996</v>
      </c>
      <c r="L22" s="66">
        <f t="shared" si="86"/>
        <v>7624.5119999999997</v>
      </c>
      <c r="M22" s="66">
        <f t="shared" si="86"/>
        <v>23974.272000000001</v>
      </c>
      <c r="N22" s="66">
        <f t="shared" si="86"/>
        <v>6874.56</v>
      </c>
      <c r="O22" s="31" t="s">
        <v>7</v>
      </c>
      <c r="P22" s="65"/>
      <c r="Q22" s="101">
        <f>SUM(Q23:Q25)</f>
        <v>2.66</v>
      </c>
      <c r="R22" s="49">
        <f>SUM(R23:R25)</f>
        <v>14121.407999999999</v>
      </c>
      <c r="S22" s="49">
        <f t="shared" ref="S22:U22" si="87">SUM(S23:S25)</f>
        <v>17045.28</v>
      </c>
      <c r="T22" s="49">
        <f t="shared" si="87"/>
        <v>17319.792000000001</v>
      </c>
      <c r="U22" s="49">
        <f t="shared" si="87"/>
        <v>19279.68</v>
      </c>
      <c r="V22" s="49">
        <f>SUM(V23:V25)</f>
        <v>19225.415999999997</v>
      </c>
      <c r="W22" s="49">
        <f>SUM(W23:W25)</f>
        <v>17109.12</v>
      </c>
      <c r="X22" s="49">
        <f>SUM(X23:X25)</f>
        <v>17316.599999999999</v>
      </c>
      <c r="Y22" s="49">
        <f t="shared" ref="Y22:AC22" si="88">SUM(Y23:Y25)</f>
        <v>20275.584000000003</v>
      </c>
      <c r="Z22" s="49">
        <f t="shared" si="88"/>
        <v>6530.8319999999994</v>
      </c>
      <c r="AA22" s="49">
        <f t="shared" si="88"/>
        <v>20974.631999999998</v>
      </c>
      <c r="AB22" s="49">
        <f t="shared" si="88"/>
        <v>15123.696</v>
      </c>
      <c r="AC22" s="49">
        <f t="shared" si="88"/>
        <v>28143.864000000001</v>
      </c>
      <c r="AD22" s="101">
        <f t="shared" ref="AD22:AN22" si="89">SUM(AD23:AD25)</f>
        <v>2.66</v>
      </c>
      <c r="AE22" s="49">
        <f t="shared" si="89"/>
        <v>5876.4719999999998</v>
      </c>
      <c r="AF22" s="49">
        <f t="shared" si="89"/>
        <v>17667.72</v>
      </c>
      <c r="AG22" s="101">
        <f t="shared" si="89"/>
        <v>2.66</v>
      </c>
      <c r="AH22" s="49">
        <f t="shared" si="89"/>
        <v>19129.655999999995</v>
      </c>
      <c r="AI22" s="101">
        <f t="shared" si="89"/>
        <v>2.66</v>
      </c>
      <c r="AJ22" s="49">
        <f t="shared" si="89"/>
        <v>18864.72</v>
      </c>
      <c r="AK22" s="49">
        <f t="shared" si="89"/>
        <v>37423.008000000002</v>
      </c>
      <c r="AL22" s="49">
        <f t="shared" si="89"/>
        <v>18315.695999999996</v>
      </c>
      <c r="AM22" s="101">
        <f t="shared" si="89"/>
        <v>2.66</v>
      </c>
      <c r="AN22" s="49">
        <f t="shared" si="89"/>
        <v>18044.375999999997</v>
      </c>
      <c r="AO22" s="87" t="s">
        <v>7</v>
      </c>
      <c r="AP22" s="52"/>
      <c r="AQ22" s="88">
        <f>SUM(AQ23:AQ25)</f>
        <v>2.3200000000000003</v>
      </c>
      <c r="AR22" s="57">
        <f>AR23+AR24+AR25</f>
        <v>12205.055999999999</v>
      </c>
      <c r="AS22" s="31" t="s">
        <v>7</v>
      </c>
      <c r="AT22" s="64"/>
      <c r="AU22" s="69">
        <f>SUM(AU23:AU25)</f>
        <v>2.1399999999999997</v>
      </c>
      <c r="AV22" s="66">
        <f t="shared" ref="AV22:BL22" si="90">SUM(AV23:AV25)</f>
        <v>15361.776000000002</v>
      </c>
      <c r="AW22" s="66">
        <f t="shared" si="90"/>
        <v>14265.239999999998</v>
      </c>
      <c r="AX22" s="66">
        <f t="shared" si="90"/>
        <v>18861.96</v>
      </c>
      <c r="AY22" s="66">
        <f t="shared" si="90"/>
        <v>14817.359999999999</v>
      </c>
      <c r="AZ22" s="66">
        <f t="shared" si="90"/>
        <v>14547.719999999998</v>
      </c>
      <c r="BA22" s="66">
        <f t="shared" si="90"/>
        <v>18918.455999999998</v>
      </c>
      <c r="BB22" s="66">
        <f t="shared" si="90"/>
        <v>5228.4479999999994</v>
      </c>
      <c r="BC22" s="66">
        <f t="shared" si="90"/>
        <v>16275.983999999997</v>
      </c>
      <c r="BD22" s="66">
        <f t="shared" si="90"/>
        <v>12215.975999999999</v>
      </c>
      <c r="BE22" s="66">
        <f t="shared" si="90"/>
        <v>10867.775999999998</v>
      </c>
      <c r="BF22" s="66">
        <f t="shared" si="90"/>
        <v>13312.511999999999</v>
      </c>
      <c r="BG22" s="66">
        <f t="shared" si="90"/>
        <v>15562.079999999998</v>
      </c>
      <c r="BH22" s="66">
        <f t="shared" si="90"/>
        <v>14655.576000000001</v>
      </c>
      <c r="BI22" s="66">
        <f t="shared" si="90"/>
        <v>14681.255999999999</v>
      </c>
      <c r="BJ22" s="66">
        <f t="shared" si="90"/>
        <v>15007.391999999998</v>
      </c>
      <c r="BK22" s="66">
        <f t="shared" si="90"/>
        <v>15372.047999999999</v>
      </c>
      <c r="BL22" s="66">
        <f t="shared" si="90"/>
        <v>15651.96</v>
      </c>
      <c r="BM22" s="34">
        <f>SUM(BM23:BM25)</f>
        <v>2.1399999999999997</v>
      </c>
      <c r="BN22" s="66">
        <f>SUM(BN23:BN25)</f>
        <v>17221.007999999998</v>
      </c>
      <c r="BO22" s="34">
        <f>SUM(BO23:BO25)</f>
        <v>2.1399999999999997</v>
      </c>
      <c r="BP22" s="66">
        <f>SUM(BP23:BP25)</f>
        <v>15408</v>
      </c>
      <c r="BQ22" s="31" t="s">
        <v>7</v>
      </c>
      <c r="BR22" s="65"/>
      <c r="BS22" s="101">
        <f>SUM(BS23:BS25)</f>
        <v>2.1399999999999997</v>
      </c>
      <c r="BT22" s="49">
        <f>SUM(BT23:BT25)</f>
        <v>15736.703999999998</v>
      </c>
      <c r="BU22" s="49">
        <f t="shared" ref="BU22:CB22" si="91">SUM(BU23:BU25)</f>
        <v>14801.951999999997</v>
      </c>
      <c r="BV22" s="49">
        <f t="shared" si="91"/>
        <v>14771.135999999999</v>
      </c>
      <c r="BW22" s="49">
        <f t="shared" si="91"/>
        <v>14421.887999999999</v>
      </c>
      <c r="BX22" s="101">
        <f>SUM(BX23:BX25)</f>
        <v>2.1399999999999997</v>
      </c>
      <c r="BY22" s="49">
        <f>SUM(BY23:BY25)</f>
        <v>15639.119999999999</v>
      </c>
      <c r="BZ22" s="101">
        <f>SUM(BZ23:BZ25)</f>
        <v>2.1399999999999997</v>
      </c>
      <c r="CA22" s="49">
        <f t="shared" si="91"/>
        <v>15030.503999999999</v>
      </c>
      <c r="CB22" s="49">
        <f t="shared" si="91"/>
        <v>15115.248</v>
      </c>
      <c r="CC22" s="31" t="s">
        <v>7</v>
      </c>
      <c r="CD22" s="65"/>
      <c r="CE22" s="47">
        <f>SUM(CE23:CE25)</f>
        <v>3.49</v>
      </c>
      <c r="CF22" s="49">
        <f>SUM(CF23:CF25)</f>
        <v>24215.016000000003</v>
      </c>
    </row>
    <row r="23" spans="1:89" s="1" customFormat="1" ht="36" customHeight="1" x14ac:dyDescent="0.2">
      <c r="A23" s="30" t="s">
        <v>38</v>
      </c>
      <c r="B23" s="29" t="s">
        <v>3</v>
      </c>
      <c r="C23" s="65">
        <v>1.1100000000000001</v>
      </c>
      <c r="D23" s="24">
        <f t="shared" ref="D23:J23" si="92">$C$23*12*D35</f>
        <v>5402.5920000000006</v>
      </c>
      <c r="E23" s="24">
        <f t="shared" si="92"/>
        <v>5483.8440000000001</v>
      </c>
      <c r="F23" s="24">
        <f t="shared" si="92"/>
        <v>6279.0479999999998</v>
      </c>
      <c r="G23" s="24">
        <f t="shared" si="92"/>
        <v>5386.6080000000002</v>
      </c>
      <c r="H23" s="24">
        <f t="shared" si="92"/>
        <v>9477.18</v>
      </c>
      <c r="I23" s="24">
        <f t="shared" si="92"/>
        <v>4470.192</v>
      </c>
      <c r="J23" s="24">
        <f t="shared" si="92"/>
        <v>7716.2759999999998</v>
      </c>
      <c r="K23" s="24">
        <f t="shared" ref="K23:N23" si="93">$C$23*12*K35</f>
        <v>2565.4319999999998</v>
      </c>
      <c r="L23" s="24">
        <f t="shared" si="93"/>
        <v>2518.8119999999999</v>
      </c>
      <c r="M23" s="24">
        <f t="shared" si="93"/>
        <v>7920.0720000000001</v>
      </c>
      <c r="N23" s="24">
        <f t="shared" si="93"/>
        <v>2271.06</v>
      </c>
      <c r="O23" s="30" t="s">
        <v>38</v>
      </c>
      <c r="P23" s="65" t="s">
        <v>3</v>
      </c>
      <c r="Q23" s="100">
        <v>1.1100000000000001</v>
      </c>
      <c r="R23" s="48">
        <f t="shared" ref="R23:X23" si="94">$Q$23*12*R35</f>
        <v>5892.768</v>
      </c>
      <c r="S23" s="48">
        <f t="shared" si="94"/>
        <v>7112.88</v>
      </c>
      <c r="T23" s="48">
        <f t="shared" si="94"/>
        <v>7227.4320000000007</v>
      </c>
      <c r="U23" s="48">
        <f t="shared" si="94"/>
        <v>8045.28</v>
      </c>
      <c r="V23" s="48">
        <f t="shared" si="94"/>
        <v>8022.6359999999995</v>
      </c>
      <c r="W23" s="48">
        <f t="shared" si="94"/>
        <v>7139.52</v>
      </c>
      <c r="X23" s="48">
        <f t="shared" si="94"/>
        <v>7226.1</v>
      </c>
      <c r="Y23" s="48">
        <f t="shared" ref="Y23:AC23" si="95">$Q$23*12*Y35</f>
        <v>8460.8640000000014</v>
      </c>
      <c r="Z23" s="48">
        <f t="shared" si="95"/>
        <v>2725.2719999999999</v>
      </c>
      <c r="AA23" s="48">
        <f t="shared" si="95"/>
        <v>8752.5720000000001</v>
      </c>
      <c r="AB23" s="48">
        <f t="shared" si="95"/>
        <v>6311.0160000000005</v>
      </c>
      <c r="AC23" s="48">
        <f t="shared" si="95"/>
        <v>11744.244000000001</v>
      </c>
      <c r="AD23" s="100">
        <v>1.1100000000000001</v>
      </c>
      <c r="AE23" s="48">
        <f>$Q$23*12*AE35</f>
        <v>2452.212</v>
      </c>
      <c r="AF23" s="48">
        <f>$Q$23*12*AF35</f>
        <v>7372.62</v>
      </c>
      <c r="AG23" s="100">
        <v>1.1100000000000001</v>
      </c>
      <c r="AH23" s="48">
        <f>$Q$23*12*AH35</f>
        <v>7982.6759999999995</v>
      </c>
      <c r="AI23" s="100">
        <v>1.1100000000000001</v>
      </c>
      <c r="AJ23" s="48">
        <f>$Q$23*12*AJ35</f>
        <v>7872.12</v>
      </c>
      <c r="AK23" s="48">
        <f>$Q$23*12*AK35</f>
        <v>15616.368000000002</v>
      </c>
      <c r="AL23" s="48">
        <f>$Q$23*12*AL35</f>
        <v>7643.0159999999996</v>
      </c>
      <c r="AM23" s="100">
        <v>1.1100000000000001</v>
      </c>
      <c r="AN23" s="48">
        <f>$Q$23*12*AN35</f>
        <v>7529.7959999999994</v>
      </c>
      <c r="AO23" s="61" t="s">
        <v>38</v>
      </c>
      <c r="AP23" s="52" t="s">
        <v>3</v>
      </c>
      <c r="AQ23" s="52">
        <v>1.1299999999999999</v>
      </c>
      <c r="AR23" s="55">
        <f>$AQ$23*12*AR35</f>
        <v>5944.7039999999988</v>
      </c>
      <c r="AS23" s="30" t="s">
        <v>77</v>
      </c>
      <c r="AT23" s="64" t="s">
        <v>3</v>
      </c>
      <c r="AU23" s="65">
        <v>1.1299999999999999</v>
      </c>
      <c r="AV23" s="24">
        <f>$AU$23*12*AV35</f>
        <v>8111.5919999999996</v>
      </c>
      <c r="AW23" s="24">
        <f t="shared" ref="AW23:BL23" si="96">$AU$23*12*AW35</f>
        <v>7532.579999999999</v>
      </c>
      <c r="AX23" s="24">
        <f t="shared" si="96"/>
        <v>9959.82</v>
      </c>
      <c r="AY23" s="24">
        <f t="shared" si="96"/>
        <v>7824.119999999999</v>
      </c>
      <c r="AZ23" s="24">
        <f t="shared" si="96"/>
        <v>7681.7399999999989</v>
      </c>
      <c r="BA23" s="24">
        <f t="shared" si="96"/>
        <v>9989.652</v>
      </c>
      <c r="BB23" s="24">
        <f t="shared" si="96"/>
        <v>2760.8159999999998</v>
      </c>
      <c r="BC23" s="24">
        <f t="shared" si="96"/>
        <v>8594.3279999999977</v>
      </c>
      <c r="BD23" s="24">
        <f t="shared" si="96"/>
        <v>6450.4919999999993</v>
      </c>
      <c r="BE23" s="24">
        <f t="shared" si="96"/>
        <v>5738.5919999999996</v>
      </c>
      <c r="BF23" s="24">
        <f t="shared" si="96"/>
        <v>7029.503999999999</v>
      </c>
      <c r="BG23" s="24">
        <f t="shared" si="96"/>
        <v>8217.3599999999988</v>
      </c>
      <c r="BH23" s="24">
        <f t="shared" si="96"/>
        <v>7738.692</v>
      </c>
      <c r="BI23" s="24">
        <f t="shared" si="96"/>
        <v>7752.2519999999995</v>
      </c>
      <c r="BJ23" s="24">
        <f t="shared" si="96"/>
        <v>7924.463999999999</v>
      </c>
      <c r="BK23" s="24">
        <f t="shared" si="96"/>
        <v>8117.0159999999996</v>
      </c>
      <c r="BL23" s="24">
        <f t="shared" si="96"/>
        <v>8264.82</v>
      </c>
      <c r="BM23" s="65">
        <v>1.1299999999999999</v>
      </c>
      <c r="BN23" s="24">
        <f>$AU$23*12*BN35</f>
        <v>9093.3359999999993</v>
      </c>
      <c r="BO23" s="65">
        <v>1.1299999999999999</v>
      </c>
      <c r="BP23" s="24">
        <f>$AU$23*12*BP35</f>
        <v>8135.9999999999991</v>
      </c>
      <c r="BQ23" s="30" t="s">
        <v>77</v>
      </c>
      <c r="BR23" s="65" t="s">
        <v>3</v>
      </c>
      <c r="BS23" s="100">
        <v>1.1299999999999999</v>
      </c>
      <c r="BT23" s="48">
        <f>$BS$23*12*BT35</f>
        <v>8309.5679999999993</v>
      </c>
      <c r="BU23" s="48">
        <f t="shared" ref="BU23:CB23" si="97">$BS$23*12*BU35</f>
        <v>7815.9839999999986</v>
      </c>
      <c r="BV23" s="48">
        <f t="shared" si="97"/>
        <v>7799.7119999999995</v>
      </c>
      <c r="BW23" s="48">
        <f t="shared" si="97"/>
        <v>7615.2959999999994</v>
      </c>
      <c r="BX23" s="100">
        <v>1.1299999999999999</v>
      </c>
      <c r="BY23" s="48">
        <f>$BS$23*12*BY35</f>
        <v>8258.0399999999991</v>
      </c>
      <c r="BZ23" s="100">
        <v>1.1299999999999999</v>
      </c>
      <c r="CA23" s="48">
        <f t="shared" si="97"/>
        <v>7936.6679999999988</v>
      </c>
      <c r="CB23" s="48">
        <f t="shared" si="97"/>
        <v>7981.4159999999993</v>
      </c>
      <c r="CC23" s="30" t="s">
        <v>155</v>
      </c>
      <c r="CD23" s="65" t="s">
        <v>3</v>
      </c>
      <c r="CE23" s="100">
        <v>1.1100000000000001</v>
      </c>
      <c r="CF23" s="48">
        <f t="shared" ref="CF23:CF33" si="98">CE23*12*$CF$35</f>
        <v>7701.6240000000007</v>
      </c>
    </row>
    <row r="24" spans="1:89" s="1" customFormat="1" ht="71.25" customHeight="1" x14ac:dyDescent="0.2">
      <c r="A24" s="30" t="s">
        <v>39</v>
      </c>
      <c r="B24" s="41" t="s">
        <v>6</v>
      </c>
      <c r="C24" s="65">
        <v>0.14000000000000001</v>
      </c>
      <c r="D24" s="24">
        <f t="shared" ref="D24:J24" si="99">$C$24*12*D35</f>
        <v>681.40800000000013</v>
      </c>
      <c r="E24" s="24">
        <f t="shared" si="99"/>
        <v>691.65600000000006</v>
      </c>
      <c r="F24" s="24">
        <f t="shared" si="99"/>
        <v>791.952</v>
      </c>
      <c r="G24" s="24">
        <f t="shared" si="99"/>
        <v>679.39200000000005</v>
      </c>
      <c r="H24" s="24">
        <f t="shared" si="99"/>
        <v>1195.3200000000002</v>
      </c>
      <c r="I24" s="24">
        <f t="shared" si="99"/>
        <v>563.80800000000011</v>
      </c>
      <c r="J24" s="24">
        <f t="shared" si="99"/>
        <v>973.22400000000005</v>
      </c>
      <c r="K24" s="24">
        <f t="shared" ref="K24:N24" si="100">$C$24*12*K35</f>
        <v>323.56800000000004</v>
      </c>
      <c r="L24" s="24">
        <f t="shared" si="100"/>
        <v>317.68800000000005</v>
      </c>
      <c r="M24" s="24">
        <f t="shared" si="100"/>
        <v>998.92800000000011</v>
      </c>
      <c r="N24" s="24">
        <f t="shared" si="100"/>
        <v>286.44000000000005</v>
      </c>
      <c r="O24" s="30" t="s">
        <v>39</v>
      </c>
      <c r="P24" s="64" t="s">
        <v>6</v>
      </c>
      <c r="Q24" s="100">
        <v>0.14000000000000001</v>
      </c>
      <c r="R24" s="48">
        <f t="shared" ref="R24:X24" si="101">$Q$24*12*R35</f>
        <v>743.23200000000008</v>
      </c>
      <c r="S24" s="48">
        <f t="shared" si="101"/>
        <v>897.12000000000012</v>
      </c>
      <c r="T24" s="48">
        <f t="shared" si="101"/>
        <v>911.5680000000001</v>
      </c>
      <c r="U24" s="48">
        <f t="shared" si="101"/>
        <v>1014.7200000000001</v>
      </c>
      <c r="V24" s="48">
        <f t="shared" si="101"/>
        <v>1011.864</v>
      </c>
      <c r="W24" s="48">
        <f t="shared" si="101"/>
        <v>900.48000000000013</v>
      </c>
      <c r="X24" s="48">
        <f t="shared" si="101"/>
        <v>911.40000000000009</v>
      </c>
      <c r="Y24" s="48">
        <f t="shared" ref="Y24:AC24" si="102">$Q$24*12*Y35</f>
        <v>1067.1360000000002</v>
      </c>
      <c r="Z24" s="48">
        <f t="shared" si="102"/>
        <v>343.72800000000001</v>
      </c>
      <c r="AA24" s="48">
        <f t="shared" si="102"/>
        <v>1103.9280000000001</v>
      </c>
      <c r="AB24" s="48">
        <f t="shared" si="102"/>
        <v>795.98400000000015</v>
      </c>
      <c r="AC24" s="48">
        <f t="shared" si="102"/>
        <v>1481.2560000000003</v>
      </c>
      <c r="AD24" s="100">
        <v>0.14000000000000001</v>
      </c>
      <c r="AE24" s="48">
        <f>$Q$24*12*AE35</f>
        <v>309.28800000000001</v>
      </c>
      <c r="AF24" s="48">
        <f>$Q$24*12*AF35</f>
        <v>929.88000000000011</v>
      </c>
      <c r="AG24" s="100">
        <v>0.14000000000000001</v>
      </c>
      <c r="AH24" s="48">
        <f>$Q$24*12*AH35</f>
        <v>1006.8240000000001</v>
      </c>
      <c r="AI24" s="100">
        <v>0.14000000000000001</v>
      </c>
      <c r="AJ24" s="48">
        <f>$Q$24*12*AJ35</f>
        <v>992.88000000000011</v>
      </c>
      <c r="AK24" s="48">
        <f>$Q$24*12*AK35</f>
        <v>1969.6320000000003</v>
      </c>
      <c r="AL24" s="48">
        <f>$Q$24*12*AL35</f>
        <v>963.98400000000004</v>
      </c>
      <c r="AM24" s="100">
        <v>0.14000000000000001</v>
      </c>
      <c r="AN24" s="48">
        <f>$Q$24*12*AN35</f>
        <v>949.70400000000006</v>
      </c>
      <c r="AO24" s="61" t="s">
        <v>39</v>
      </c>
      <c r="AP24" s="52" t="s">
        <v>6</v>
      </c>
      <c r="AQ24" s="52">
        <v>0.14000000000000001</v>
      </c>
      <c r="AR24" s="55">
        <f>$AQ$24*12*AR35</f>
        <v>736.51200000000006</v>
      </c>
      <c r="AS24" s="30" t="s">
        <v>78</v>
      </c>
      <c r="AT24" s="64" t="s">
        <v>6</v>
      </c>
      <c r="AU24" s="65">
        <v>0.16</v>
      </c>
      <c r="AV24" s="24">
        <f>$AU$24*12*AV35</f>
        <v>1148.5440000000001</v>
      </c>
      <c r="AW24" s="24">
        <f t="shared" ref="AW24:BL24" si="103">$AU$24*12*AW35</f>
        <v>1066.56</v>
      </c>
      <c r="AX24" s="24">
        <f t="shared" si="103"/>
        <v>1410.24</v>
      </c>
      <c r="AY24" s="24">
        <f t="shared" si="103"/>
        <v>1107.8399999999999</v>
      </c>
      <c r="AZ24" s="24">
        <f t="shared" si="103"/>
        <v>1087.68</v>
      </c>
      <c r="BA24" s="24">
        <f t="shared" si="103"/>
        <v>1414.4639999999999</v>
      </c>
      <c r="BB24" s="24">
        <f t="shared" si="103"/>
        <v>390.91199999999998</v>
      </c>
      <c r="BC24" s="24">
        <f t="shared" si="103"/>
        <v>1216.896</v>
      </c>
      <c r="BD24" s="24">
        <f t="shared" si="103"/>
        <v>913.34399999999994</v>
      </c>
      <c r="BE24" s="24">
        <f t="shared" si="103"/>
        <v>812.54399999999998</v>
      </c>
      <c r="BF24" s="24">
        <f t="shared" si="103"/>
        <v>995.32799999999997</v>
      </c>
      <c r="BG24" s="24">
        <f t="shared" si="103"/>
        <v>1163.52</v>
      </c>
      <c r="BH24" s="24">
        <f t="shared" si="103"/>
        <v>1095.7440000000001</v>
      </c>
      <c r="BI24" s="24">
        <f t="shared" si="103"/>
        <v>1097.664</v>
      </c>
      <c r="BJ24" s="24">
        <f t="shared" si="103"/>
        <v>1122.048</v>
      </c>
      <c r="BK24" s="24">
        <f t="shared" si="103"/>
        <v>1149.3119999999999</v>
      </c>
      <c r="BL24" s="24">
        <f t="shared" si="103"/>
        <v>1170.24</v>
      </c>
      <c r="BM24" s="65">
        <v>0.16</v>
      </c>
      <c r="BN24" s="24">
        <f>$AU$24*12*BN35</f>
        <v>1287.5519999999999</v>
      </c>
      <c r="BO24" s="65">
        <v>0.16</v>
      </c>
      <c r="BP24" s="24">
        <f>$AU$24*12*BP35</f>
        <v>1152</v>
      </c>
      <c r="BQ24" s="30" t="s">
        <v>78</v>
      </c>
      <c r="BR24" s="64" t="s">
        <v>6</v>
      </c>
      <c r="BS24" s="100">
        <v>0.16</v>
      </c>
      <c r="BT24" s="48">
        <f>$BS$24*12*BT35</f>
        <v>1176.5759999999998</v>
      </c>
      <c r="BU24" s="48">
        <f t="shared" ref="BU24:CB24" si="104">$BS$24*12*BU35</f>
        <v>1106.6879999999999</v>
      </c>
      <c r="BV24" s="48">
        <f t="shared" si="104"/>
        <v>1104.384</v>
      </c>
      <c r="BW24" s="48">
        <f t="shared" si="104"/>
        <v>1078.2719999999999</v>
      </c>
      <c r="BX24" s="100">
        <v>0.16</v>
      </c>
      <c r="BY24" s="48">
        <f>$BS$24*12*BY35</f>
        <v>1169.28</v>
      </c>
      <c r="BZ24" s="100">
        <v>0.16</v>
      </c>
      <c r="CA24" s="48">
        <f t="shared" si="104"/>
        <v>1123.7759999999998</v>
      </c>
      <c r="CB24" s="48">
        <f t="shared" si="104"/>
        <v>1130.1120000000001</v>
      </c>
      <c r="CC24" s="30" t="s">
        <v>156</v>
      </c>
      <c r="CD24" s="64" t="s">
        <v>6</v>
      </c>
      <c r="CE24" s="100">
        <v>0.13</v>
      </c>
      <c r="CF24" s="48">
        <f t="shared" si="98"/>
        <v>901.99200000000008</v>
      </c>
    </row>
    <row r="25" spans="1:89" s="1" customFormat="1" ht="112.5" customHeight="1" x14ac:dyDescent="0.2">
      <c r="A25" s="30" t="s">
        <v>40</v>
      </c>
      <c r="B25" s="29" t="s">
        <v>5</v>
      </c>
      <c r="C25" s="65">
        <v>2.11</v>
      </c>
      <c r="D25" s="24">
        <f t="shared" ref="D25:J25" si="105">$C$25*12*D35</f>
        <v>10269.792000000001</v>
      </c>
      <c r="E25" s="24">
        <f t="shared" si="105"/>
        <v>10424.244000000001</v>
      </c>
      <c r="F25" s="24">
        <f t="shared" si="105"/>
        <v>11935.848</v>
      </c>
      <c r="G25" s="24">
        <f t="shared" si="105"/>
        <v>10239.407999999999</v>
      </c>
      <c r="H25" s="24">
        <f t="shared" si="105"/>
        <v>18015.18</v>
      </c>
      <c r="I25" s="24">
        <f t="shared" si="105"/>
        <v>8497.3919999999998</v>
      </c>
      <c r="J25" s="24">
        <f t="shared" si="105"/>
        <v>14667.875999999998</v>
      </c>
      <c r="K25" s="24">
        <f t="shared" ref="K25:N25" si="106">$C$25*12*K35</f>
        <v>4876.6319999999996</v>
      </c>
      <c r="L25" s="24">
        <f t="shared" si="106"/>
        <v>4788.0119999999997</v>
      </c>
      <c r="M25" s="24">
        <f t="shared" si="106"/>
        <v>15055.272000000001</v>
      </c>
      <c r="N25" s="24">
        <f t="shared" si="106"/>
        <v>4317.0600000000004</v>
      </c>
      <c r="O25" s="30" t="s">
        <v>40</v>
      </c>
      <c r="P25" s="65" t="s">
        <v>5</v>
      </c>
      <c r="Q25" s="100">
        <v>1.41</v>
      </c>
      <c r="R25" s="48">
        <f t="shared" ref="R25:X25" si="107">$Q$25*12*R35</f>
        <v>7485.4079999999985</v>
      </c>
      <c r="S25" s="48">
        <f t="shared" si="107"/>
        <v>9035.2799999999988</v>
      </c>
      <c r="T25" s="48">
        <f t="shared" si="107"/>
        <v>9180.7919999999995</v>
      </c>
      <c r="U25" s="48">
        <f t="shared" si="107"/>
        <v>10219.679999999998</v>
      </c>
      <c r="V25" s="48">
        <f t="shared" si="107"/>
        <v>10190.915999999997</v>
      </c>
      <c r="W25" s="48">
        <f t="shared" si="107"/>
        <v>9069.119999999999</v>
      </c>
      <c r="X25" s="48">
        <f t="shared" si="107"/>
        <v>9179.0999999999985</v>
      </c>
      <c r="Y25" s="48">
        <f t="shared" ref="Y25:AC25" si="108">$Q$25*12*Y35</f>
        <v>10747.583999999999</v>
      </c>
      <c r="Z25" s="48">
        <f t="shared" si="108"/>
        <v>3461.8319999999994</v>
      </c>
      <c r="AA25" s="48">
        <f t="shared" si="108"/>
        <v>11118.132</v>
      </c>
      <c r="AB25" s="48">
        <f t="shared" si="108"/>
        <v>8016.695999999999</v>
      </c>
      <c r="AC25" s="48">
        <f t="shared" si="108"/>
        <v>14918.364</v>
      </c>
      <c r="AD25" s="100">
        <v>1.41</v>
      </c>
      <c r="AE25" s="48">
        <f>$Q$25*12*AE35</f>
        <v>3114.9719999999998</v>
      </c>
      <c r="AF25" s="48">
        <f>$Q$25*12*AF35</f>
        <v>9365.2199999999993</v>
      </c>
      <c r="AG25" s="100">
        <v>1.41</v>
      </c>
      <c r="AH25" s="48">
        <f>$Q$25*12*AH35</f>
        <v>10140.155999999997</v>
      </c>
      <c r="AI25" s="100">
        <v>1.41</v>
      </c>
      <c r="AJ25" s="48">
        <f>$Q$25*12*AJ35</f>
        <v>9999.7199999999993</v>
      </c>
      <c r="AK25" s="48">
        <f>$Q$25*12*AK35</f>
        <v>19837.007999999998</v>
      </c>
      <c r="AL25" s="48">
        <f>$Q$25*12*AL35</f>
        <v>9708.6959999999981</v>
      </c>
      <c r="AM25" s="100">
        <v>1.41</v>
      </c>
      <c r="AN25" s="48">
        <f>$Q$25*12*AN35</f>
        <v>9564.8759999999984</v>
      </c>
      <c r="AO25" s="61" t="s">
        <v>57</v>
      </c>
      <c r="AP25" s="52" t="s">
        <v>5</v>
      </c>
      <c r="AQ25" s="52">
        <v>1.05</v>
      </c>
      <c r="AR25" s="55">
        <f>$AQ$25*12*AR35</f>
        <v>5523.84</v>
      </c>
      <c r="AS25" s="30" t="s">
        <v>79</v>
      </c>
      <c r="AT25" s="64" t="s">
        <v>5</v>
      </c>
      <c r="AU25" s="65">
        <v>0.85</v>
      </c>
      <c r="AV25" s="24">
        <f>$AU$25*12*AV35</f>
        <v>6101.64</v>
      </c>
      <c r="AW25" s="24">
        <f t="shared" ref="AW25:BL25" si="109">$AU$25*12*AW35</f>
        <v>5666.0999999999995</v>
      </c>
      <c r="AX25" s="24">
        <f t="shared" si="109"/>
        <v>7491.9</v>
      </c>
      <c r="AY25" s="24">
        <f t="shared" si="109"/>
        <v>5885.4</v>
      </c>
      <c r="AZ25" s="24">
        <f t="shared" si="109"/>
        <v>5778.2999999999993</v>
      </c>
      <c r="BA25" s="24">
        <f t="shared" si="109"/>
        <v>7514.34</v>
      </c>
      <c r="BB25" s="24">
        <f t="shared" si="109"/>
        <v>2076.7199999999998</v>
      </c>
      <c r="BC25" s="24">
        <f t="shared" si="109"/>
        <v>6464.7599999999993</v>
      </c>
      <c r="BD25" s="24">
        <f t="shared" si="109"/>
        <v>4852.1399999999994</v>
      </c>
      <c r="BE25" s="24">
        <f t="shared" si="109"/>
        <v>4316.6399999999994</v>
      </c>
      <c r="BF25" s="24">
        <f t="shared" si="109"/>
        <v>5287.6799999999994</v>
      </c>
      <c r="BG25" s="24">
        <f t="shared" si="109"/>
        <v>6181.2</v>
      </c>
      <c r="BH25" s="24">
        <f t="shared" si="109"/>
        <v>5821.14</v>
      </c>
      <c r="BI25" s="24">
        <f t="shared" si="109"/>
        <v>5831.34</v>
      </c>
      <c r="BJ25" s="24">
        <f t="shared" si="109"/>
        <v>5960.8799999999992</v>
      </c>
      <c r="BK25" s="24">
        <f t="shared" si="109"/>
        <v>6105.72</v>
      </c>
      <c r="BL25" s="24">
        <f t="shared" si="109"/>
        <v>6216.9</v>
      </c>
      <c r="BM25" s="65">
        <v>0.85</v>
      </c>
      <c r="BN25" s="24">
        <f>$AU$25*12*BN35</f>
        <v>6840.12</v>
      </c>
      <c r="BO25" s="65">
        <v>0.85</v>
      </c>
      <c r="BP25" s="24">
        <f>$AU$25*12*BP35</f>
        <v>6120</v>
      </c>
      <c r="BQ25" s="30" t="s">
        <v>79</v>
      </c>
      <c r="BR25" s="65" t="s">
        <v>5</v>
      </c>
      <c r="BS25" s="100">
        <v>0.85</v>
      </c>
      <c r="BT25" s="48">
        <f>$BS$25*12*BT35</f>
        <v>6250.5599999999995</v>
      </c>
      <c r="BU25" s="48">
        <f t="shared" ref="BU25:CB25" si="110">$BS$25*12*BU35</f>
        <v>5879.28</v>
      </c>
      <c r="BV25" s="48">
        <f t="shared" si="110"/>
        <v>5867.04</v>
      </c>
      <c r="BW25" s="48">
        <f t="shared" si="110"/>
        <v>5728.32</v>
      </c>
      <c r="BX25" s="100">
        <v>0.85</v>
      </c>
      <c r="BY25" s="48">
        <f>$BS$25*12*BY35</f>
        <v>6211.7999999999993</v>
      </c>
      <c r="BZ25" s="100">
        <v>0.85</v>
      </c>
      <c r="CA25" s="48">
        <f t="shared" si="110"/>
        <v>5970.0599999999995</v>
      </c>
      <c r="CB25" s="48">
        <f t="shared" si="110"/>
        <v>6003.72</v>
      </c>
      <c r="CC25" s="30" t="s">
        <v>157</v>
      </c>
      <c r="CD25" s="65" t="s">
        <v>5</v>
      </c>
      <c r="CE25" s="100">
        <v>2.25</v>
      </c>
      <c r="CF25" s="48">
        <f t="shared" si="98"/>
        <v>15611.400000000001</v>
      </c>
    </row>
    <row r="26" spans="1:89" s="1" customFormat="1" ht="24.75" customHeight="1" x14ac:dyDescent="0.2">
      <c r="A26" s="31" t="s">
        <v>4</v>
      </c>
      <c r="B26" s="40"/>
      <c r="C26" s="69">
        <f>SUM(C27:C31)</f>
        <v>7.06</v>
      </c>
      <c r="D26" s="70">
        <f>SUM(D27:D31)</f>
        <v>34362.432000000001</v>
      </c>
      <c r="E26" s="70">
        <f t="shared" ref="E26:F26" si="111">SUM(E27:E31)</f>
        <v>34879.223999999995</v>
      </c>
      <c r="F26" s="70">
        <f t="shared" si="111"/>
        <v>39937.007999999994</v>
      </c>
      <c r="G26" s="70">
        <f t="shared" ref="G26:H26" si="112">SUM(G27:G31)</f>
        <v>34260.767999999989</v>
      </c>
      <c r="H26" s="70">
        <f t="shared" si="112"/>
        <v>60278.28</v>
      </c>
      <c r="I26" s="94">
        <f t="shared" ref="I26:J26" si="113">SUM(I27:I31)</f>
        <v>28432.031999999996</v>
      </c>
      <c r="J26" s="94">
        <f t="shared" si="113"/>
        <v>49078.295999999995</v>
      </c>
      <c r="K26" s="94">
        <f t="shared" ref="K26:N26" si="114">SUM(K27:K31)</f>
        <v>16317.071999999998</v>
      </c>
      <c r="L26" s="94">
        <f t="shared" si="114"/>
        <v>16020.552</v>
      </c>
      <c r="M26" s="94">
        <f t="shared" si="114"/>
        <v>50374.512000000002</v>
      </c>
      <c r="N26" s="94">
        <f t="shared" si="114"/>
        <v>14444.759999999997</v>
      </c>
      <c r="O26" s="47" t="s">
        <v>4</v>
      </c>
      <c r="P26" s="65"/>
      <c r="Q26" s="101">
        <f>SUM(Q27:Q31)</f>
        <v>4</v>
      </c>
      <c r="R26" s="90">
        <f>SUM(R27:R31)</f>
        <v>21235.199999999997</v>
      </c>
      <c r="S26" s="90">
        <f t="shared" ref="S26:U26" si="115">SUM(S27:S31)</f>
        <v>25631.999999999996</v>
      </c>
      <c r="T26" s="57">
        <f t="shared" si="115"/>
        <v>26044.799999999999</v>
      </c>
      <c r="U26" s="90">
        <f t="shared" si="115"/>
        <v>28992</v>
      </c>
      <c r="V26" s="90">
        <f>SUM(V27:V31)</f>
        <v>28910.399999999998</v>
      </c>
      <c r="W26" s="90">
        <f>SUM(W27:W31)</f>
        <v>25727.999999999996</v>
      </c>
      <c r="X26" s="90">
        <f>SUM(X27:X31)</f>
        <v>26039.999999999996</v>
      </c>
      <c r="Y26" s="90">
        <f t="shared" ref="Y26:AC26" si="116">SUM(Y27:Y31)</f>
        <v>30489.599999999999</v>
      </c>
      <c r="Z26" s="90">
        <f t="shared" si="116"/>
        <v>9820.7999999999993</v>
      </c>
      <c r="AA26" s="90">
        <f t="shared" si="116"/>
        <v>31540.799999999999</v>
      </c>
      <c r="AB26" s="90">
        <f t="shared" si="116"/>
        <v>22742.400000000001</v>
      </c>
      <c r="AC26" s="90">
        <f t="shared" si="116"/>
        <v>42321.599999999999</v>
      </c>
      <c r="AD26" s="101">
        <f t="shared" ref="AD26:AN26" si="117">SUM(AD27:AD31)</f>
        <v>4</v>
      </c>
      <c r="AE26" s="90">
        <f t="shared" si="117"/>
        <v>8836.7999999999993</v>
      </c>
      <c r="AF26" s="90">
        <f t="shared" si="117"/>
        <v>26567.999999999996</v>
      </c>
      <c r="AG26" s="101">
        <f t="shared" si="117"/>
        <v>4</v>
      </c>
      <c r="AH26" s="90">
        <f t="shared" si="117"/>
        <v>28766.399999999998</v>
      </c>
      <c r="AI26" s="101">
        <f t="shared" si="117"/>
        <v>4</v>
      </c>
      <c r="AJ26" s="90">
        <f t="shared" si="117"/>
        <v>28367.999999999996</v>
      </c>
      <c r="AK26" s="90">
        <f t="shared" si="117"/>
        <v>56275.200000000004</v>
      </c>
      <c r="AL26" s="90">
        <f t="shared" si="117"/>
        <v>27542.399999999994</v>
      </c>
      <c r="AM26" s="101">
        <f t="shared" si="117"/>
        <v>4</v>
      </c>
      <c r="AN26" s="57">
        <f t="shared" si="117"/>
        <v>27134.399999999994</v>
      </c>
      <c r="AO26" s="87" t="s">
        <v>4</v>
      </c>
      <c r="AP26" s="52"/>
      <c r="AQ26" s="88">
        <f>SUM(AQ27:AQ31)</f>
        <v>7.9700000000000006</v>
      </c>
      <c r="AR26" s="57">
        <f>AR27+AR28+AR29+AR30+AR31</f>
        <v>41928.576000000001</v>
      </c>
      <c r="AS26" s="31" t="s">
        <v>4</v>
      </c>
      <c r="AT26" s="64"/>
      <c r="AU26" s="69">
        <f>SUM(AU27:AU31)</f>
        <v>11.639999999999999</v>
      </c>
      <c r="AV26" s="70">
        <f t="shared" ref="AV26:BL26" si="118">SUM(AV27:AV31)</f>
        <v>83556.576000000001</v>
      </c>
      <c r="AW26" s="70">
        <f t="shared" si="118"/>
        <v>77592.239999999976</v>
      </c>
      <c r="AX26" s="70">
        <f t="shared" si="118"/>
        <v>102594.95999999999</v>
      </c>
      <c r="AY26" s="70">
        <f t="shared" si="118"/>
        <v>80595.360000000001</v>
      </c>
      <c r="AZ26" s="70">
        <f t="shared" si="118"/>
        <v>79128.719999999987</v>
      </c>
      <c r="BA26" s="70">
        <f t="shared" si="118"/>
        <v>102902.25599999999</v>
      </c>
      <c r="BB26" s="70">
        <f t="shared" si="118"/>
        <v>28438.847999999998</v>
      </c>
      <c r="BC26" s="70">
        <f t="shared" si="118"/>
        <v>88529.183999999979</v>
      </c>
      <c r="BD26" s="70">
        <f t="shared" si="118"/>
        <v>66445.775999999998</v>
      </c>
      <c r="BE26" s="70">
        <f t="shared" si="118"/>
        <v>59112.576000000001</v>
      </c>
      <c r="BF26" s="70">
        <f t="shared" si="118"/>
        <v>72410.111999999994</v>
      </c>
      <c r="BG26" s="70">
        <f t="shared" si="118"/>
        <v>84646.079999999973</v>
      </c>
      <c r="BH26" s="70">
        <f t="shared" si="118"/>
        <v>79715.375999999989</v>
      </c>
      <c r="BI26" s="70">
        <f t="shared" si="118"/>
        <v>79855.055999999997</v>
      </c>
      <c r="BJ26" s="70">
        <f t="shared" si="118"/>
        <v>81628.991999999984</v>
      </c>
      <c r="BK26" s="70">
        <f t="shared" si="118"/>
        <v>83612.447999999989</v>
      </c>
      <c r="BL26" s="70">
        <f t="shared" si="118"/>
        <v>85134.959999999992</v>
      </c>
      <c r="BM26" s="69">
        <f>SUM(BM27:BM31)</f>
        <v>11.639999999999999</v>
      </c>
      <c r="BN26" s="70">
        <f>SUM(BN27:BN31)</f>
        <v>93669.407999999996</v>
      </c>
      <c r="BO26" s="69">
        <f>SUM(BO27:BO31)</f>
        <v>11.639999999999999</v>
      </c>
      <c r="BP26" s="70">
        <f>SUM(BP27:BP31)</f>
        <v>83808</v>
      </c>
      <c r="BQ26" s="47" t="s">
        <v>4</v>
      </c>
      <c r="BR26" s="65"/>
      <c r="BS26" s="101">
        <f>SUM(BS27:BS31)</f>
        <v>7.24</v>
      </c>
      <c r="BT26" s="90">
        <f>SUM(BT27:BT31)</f>
        <v>53240.063999999998</v>
      </c>
      <c r="BU26" s="90">
        <f t="shared" ref="BU26:CB26" si="119">SUM(BU27:BU31)</f>
        <v>50077.631999999998</v>
      </c>
      <c r="BV26" s="90">
        <f t="shared" si="119"/>
        <v>49973.376000000004</v>
      </c>
      <c r="BW26" s="90">
        <f t="shared" si="119"/>
        <v>48791.808000000005</v>
      </c>
      <c r="BX26" s="101">
        <f>SUM(BX27:BX31)</f>
        <v>7.24</v>
      </c>
      <c r="BY26" s="90">
        <f>SUM(BY27:BY31)</f>
        <v>52909.919999999991</v>
      </c>
      <c r="BZ26" s="101">
        <f>SUM(BZ27:BZ31)</f>
        <v>7.24</v>
      </c>
      <c r="CA26" s="90">
        <f t="shared" si="119"/>
        <v>50850.863999999994</v>
      </c>
      <c r="CB26" s="90">
        <f t="shared" si="119"/>
        <v>51137.567999999999</v>
      </c>
      <c r="CC26" s="47" t="s">
        <v>4</v>
      </c>
      <c r="CD26" s="65"/>
      <c r="CE26" s="101">
        <f>SUM(CE27:CE31)</f>
        <v>4.62</v>
      </c>
      <c r="CF26" s="90">
        <f>SUM(CF27:CF31)</f>
        <v>32055.408000000003</v>
      </c>
    </row>
    <row r="27" spans="1:89" s="25" customFormat="1" ht="156.75" customHeight="1" x14ac:dyDescent="0.2">
      <c r="A27" s="30" t="s">
        <v>41</v>
      </c>
      <c r="B27" s="41" t="s">
        <v>42</v>
      </c>
      <c r="C27" s="65">
        <v>1.81</v>
      </c>
      <c r="D27" s="24">
        <f t="shared" ref="D27:J27" si="120">$C$27*12*D35</f>
        <v>8809.6319999999996</v>
      </c>
      <c r="E27" s="24">
        <f t="shared" si="120"/>
        <v>8942.1239999999998</v>
      </c>
      <c r="F27" s="24">
        <f t="shared" si="120"/>
        <v>10238.807999999999</v>
      </c>
      <c r="G27" s="24">
        <f t="shared" si="120"/>
        <v>8783.5679999999993</v>
      </c>
      <c r="H27" s="24">
        <f t="shared" si="120"/>
        <v>15453.779999999999</v>
      </c>
      <c r="I27" s="24">
        <f t="shared" si="120"/>
        <v>7289.232</v>
      </c>
      <c r="J27" s="24">
        <f t="shared" si="120"/>
        <v>12582.395999999999</v>
      </c>
      <c r="K27" s="24">
        <f t="shared" ref="K27:N27" si="121">$C$27*12*K35</f>
        <v>4183.2719999999999</v>
      </c>
      <c r="L27" s="24">
        <f t="shared" si="121"/>
        <v>4107.2519999999995</v>
      </c>
      <c r="M27" s="24">
        <f t="shared" si="121"/>
        <v>12914.712</v>
      </c>
      <c r="N27" s="24">
        <f t="shared" si="121"/>
        <v>3703.2599999999998</v>
      </c>
      <c r="O27" s="30" t="s">
        <v>41</v>
      </c>
      <c r="P27" s="64" t="s">
        <v>42</v>
      </c>
      <c r="Q27" s="100">
        <v>1.1499999999999999</v>
      </c>
      <c r="R27" s="48">
        <f t="shared" ref="R27:X27" si="122">$Q$27*12*R35</f>
        <v>6105.119999999999</v>
      </c>
      <c r="S27" s="48">
        <f t="shared" si="122"/>
        <v>7369.2</v>
      </c>
      <c r="T27" s="48">
        <f t="shared" si="122"/>
        <v>7487.88</v>
      </c>
      <c r="U27" s="48">
        <f t="shared" si="122"/>
        <v>8335.1999999999989</v>
      </c>
      <c r="V27" s="48">
        <f t="shared" si="122"/>
        <v>8311.739999999998</v>
      </c>
      <c r="W27" s="48">
        <f t="shared" si="122"/>
        <v>7396.7999999999993</v>
      </c>
      <c r="X27" s="48">
        <f t="shared" si="122"/>
        <v>7486.4999999999991</v>
      </c>
      <c r="Y27" s="48">
        <f t="shared" ref="Y27:AC27" si="123">$Q$27*12*Y35</f>
        <v>8765.76</v>
      </c>
      <c r="Z27" s="48">
        <f t="shared" si="123"/>
        <v>2823.4799999999996</v>
      </c>
      <c r="AA27" s="48">
        <f t="shared" si="123"/>
        <v>9067.98</v>
      </c>
      <c r="AB27" s="48">
        <f t="shared" si="123"/>
        <v>6538.44</v>
      </c>
      <c r="AC27" s="48">
        <f t="shared" si="123"/>
        <v>12167.46</v>
      </c>
      <c r="AD27" s="100">
        <v>1.1499999999999999</v>
      </c>
      <c r="AE27" s="48">
        <f>$Q$27*12*AE35</f>
        <v>2540.58</v>
      </c>
      <c r="AF27" s="48">
        <f>$Q$27*12*AF35</f>
        <v>7638.2999999999993</v>
      </c>
      <c r="AG27" s="100">
        <v>1.1499999999999999</v>
      </c>
      <c r="AH27" s="48">
        <f>$Q$27*12*AH35</f>
        <v>8270.3399999999983</v>
      </c>
      <c r="AI27" s="100">
        <v>1.1499999999999999</v>
      </c>
      <c r="AJ27" s="48">
        <f>$Q$27*12*AJ35</f>
        <v>8155.7999999999993</v>
      </c>
      <c r="AK27" s="48">
        <f>$Q$27*12*AK35</f>
        <v>16179.12</v>
      </c>
      <c r="AL27" s="48">
        <f>$Q$27*12*AL35</f>
        <v>7918.4399999999987</v>
      </c>
      <c r="AM27" s="100">
        <v>1.1499999999999999</v>
      </c>
      <c r="AN27" s="48">
        <f>$Q$27*12*AN35</f>
        <v>7801.1399999999985</v>
      </c>
      <c r="AO27" s="61" t="s">
        <v>58</v>
      </c>
      <c r="AP27" s="52" t="s">
        <v>42</v>
      </c>
      <c r="AQ27" s="52">
        <v>2.95</v>
      </c>
      <c r="AR27" s="55">
        <f>$AQ$27*12*AR35</f>
        <v>15519.360000000002</v>
      </c>
      <c r="AS27" s="30" t="s">
        <v>80</v>
      </c>
      <c r="AT27" s="64" t="s">
        <v>81</v>
      </c>
      <c r="AU27" s="65">
        <v>6.6</v>
      </c>
      <c r="AV27" s="24">
        <f>$AU$27*12*AV35</f>
        <v>47377.439999999995</v>
      </c>
      <c r="AW27" s="24">
        <f t="shared" ref="AW27:BL27" si="124">$AU$27*12*AW35</f>
        <v>43995.599999999991</v>
      </c>
      <c r="AX27" s="24">
        <f t="shared" si="124"/>
        <v>58172.399999999994</v>
      </c>
      <c r="AY27" s="24">
        <f t="shared" si="124"/>
        <v>45698.399999999994</v>
      </c>
      <c r="AZ27" s="24">
        <f t="shared" si="124"/>
        <v>44866.799999999996</v>
      </c>
      <c r="BA27" s="24">
        <f t="shared" si="124"/>
        <v>58346.639999999992</v>
      </c>
      <c r="BB27" s="24">
        <f t="shared" si="124"/>
        <v>16125.119999999997</v>
      </c>
      <c r="BC27" s="24">
        <f t="shared" si="124"/>
        <v>50196.959999999992</v>
      </c>
      <c r="BD27" s="24">
        <f t="shared" si="124"/>
        <v>37675.439999999995</v>
      </c>
      <c r="BE27" s="24">
        <f t="shared" si="124"/>
        <v>33517.439999999995</v>
      </c>
      <c r="BF27" s="24">
        <f t="shared" si="124"/>
        <v>41057.279999999992</v>
      </c>
      <c r="BG27" s="24">
        <f t="shared" si="124"/>
        <v>47995.19999999999</v>
      </c>
      <c r="BH27" s="24">
        <f t="shared" si="124"/>
        <v>45199.439999999995</v>
      </c>
      <c r="BI27" s="24">
        <f t="shared" si="124"/>
        <v>45278.64</v>
      </c>
      <c r="BJ27" s="24">
        <f t="shared" si="124"/>
        <v>46284.479999999989</v>
      </c>
      <c r="BK27" s="24">
        <f t="shared" si="124"/>
        <v>47409.119999999995</v>
      </c>
      <c r="BL27" s="24">
        <f t="shared" si="124"/>
        <v>48272.399999999994</v>
      </c>
      <c r="BM27" s="65">
        <v>6.6</v>
      </c>
      <c r="BN27" s="24">
        <f>$AU$27*12*BN35</f>
        <v>53111.519999999997</v>
      </c>
      <c r="BO27" s="65">
        <v>6.6</v>
      </c>
      <c r="BP27" s="24">
        <f>$AU$27*12*BP35</f>
        <v>47519.999999999993</v>
      </c>
      <c r="BQ27" s="30" t="s">
        <v>80</v>
      </c>
      <c r="BR27" s="64" t="s">
        <v>81</v>
      </c>
      <c r="BS27" s="100">
        <v>4.5999999999999996</v>
      </c>
      <c r="BT27" s="48">
        <f>$BS$27*12*BT35</f>
        <v>33826.559999999998</v>
      </c>
      <c r="BU27" s="48">
        <f t="shared" ref="BU27:CB27" si="125">$BS$27*12*BU35</f>
        <v>31817.279999999995</v>
      </c>
      <c r="BV27" s="48">
        <f t="shared" si="125"/>
        <v>31751.040000000001</v>
      </c>
      <c r="BW27" s="48">
        <f t="shared" si="125"/>
        <v>31000.32</v>
      </c>
      <c r="BX27" s="100">
        <v>4.5999999999999996</v>
      </c>
      <c r="BY27" s="48">
        <f>$BS$27*12*BY35</f>
        <v>33616.799999999996</v>
      </c>
      <c r="BZ27" s="100">
        <v>4.5999999999999996</v>
      </c>
      <c r="CA27" s="48">
        <f t="shared" si="125"/>
        <v>32308.559999999994</v>
      </c>
      <c r="CB27" s="48">
        <f t="shared" si="125"/>
        <v>32490.719999999998</v>
      </c>
      <c r="CC27" s="30" t="s">
        <v>158</v>
      </c>
      <c r="CD27" s="64" t="s">
        <v>159</v>
      </c>
      <c r="CE27" s="100">
        <f>1.87</f>
        <v>1.87</v>
      </c>
      <c r="CF27" s="48">
        <f t="shared" si="98"/>
        <v>12974.808000000001</v>
      </c>
    </row>
    <row r="28" spans="1:89" s="1" customFormat="1" ht="63.75" customHeight="1" x14ac:dyDescent="0.2">
      <c r="A28" s="30" t="s">
        <v>43</v>
      </c>
      <c r="B28" s="41" t="s">
        <v>44</v>
      </c>
      <c r="C28" s="65">
        <v>1.48</v>
      </c>
      <c r="D28" s="24">
        <f t="shared" ref="D28:J28" si="126">$C$28*12*D35</f>
        <v>7203.4559999999992</v>
      </c>
      <c r="E28" s="24">
        <f t="shared" si="126"/>
        <v>7311.7919999999986</v>
      </c>
      <c r="F28" s="24">
        <f t="shared" si="126"/>
        <v>8372.0639999999985</v>
      </c>
      <c r="G28" s="24">
        <f t="shared" si="126"/>
        <v>7182.1439999999984</v>
      </c>
      <c r="H28" s="24">
        <f t="shared" si="126"/>
        <v>12636.239999999998</v>
      </c>
      <c r="I28" s="24">
        <f t="shared" si="126"/>
        <v>5960.2559999999994</v>
      </c>
      <c r="J28" s="24">
        <f t="shared" si="126"/>
        <v>10288.367999999999</v>
      </c>
      <c r="K28" s="24">
        <f t="shared" ref="K28:N28" si="127">$C$28*12*K35</f>
        <v>3420.5759999999996</v>
      </c>
      <c r="L28" s="24">
        <f t="shared" si="127"/>
        <v>3358.4159999999997</v>
      </c>
      <c r="M28" s="24">
        <f t="shared" si="127"/>
        <v>10560.096</v>
      </c>
      <c r="N28" s="24">
        <f t="shared" si="127"/>
        <v>3028.0799999999995</v>
      </c>
      <c r="O28" s="79" t="s">
        <v>43</v>
      </c>
      <c r="P28" s="64" t="s">
        <v>44</v>
      </c>
      <c r="Q28" s="100">
        <v>1.48</v>
      </c>
      <c r="R28" s="48">
        <f t="shared" ref="R28:X28" si="128">$Q$28*12*R35</f>
        <v>7857.0239999999985</v>
      </c>
      <c r="S28" s="48">
        <f t="shared" si="128"/>
        <v>9483.8399999999983</v>
      </c>
      <c r="T28" s="48">
        <f t="shared" si="128"/>
        <v>9636.5759999999991</v>
      </c>
      <c r="U28" s="48">
        <f t="shared" si="128"/>
        <v>10727.039999999999</v>
      </c>
      <c r="V28" s="48">
        <f t="shared" si="128"/>
        <v>10696.847999999998</v>
      </c>
      <c r="W28" s="48">
        <f t="shared" si="128"/>
        <v>9519.3599999999988</v>
      </c>
      <c r="X28" s="48">
        <f t="shared" si="128"/>
        <v>9634.7999999999993</v>
      </c>
      <c r="Y28" s="48">
        <f t="shared" ref="Y28:AC28" si="129">$Q$28*12*Y35</f>
        <v>11281.152</v>
      </c>
      <c r="Z28" s="48">
        <f t="shared" si="129"/>
        <v>3633.6959999999995</v>
      </c>
      <c r="AA28" s="48">
        <f t="shared" si="129"/>
        <v>11670.096</v>
      </c>
      <c r="AB28" s="48">
        <f t="shared" si="129"/>
        <v>8414.6880000000001</v>
      </c>
      <c r="AC28" s="48">
        <f t="shared" si="129"/>
        <v>15658.991999999998</v>
      </c>
      <c r="AD28" s="100">
        <v>1.48</v>
      </c>
      <c r="AE28" s="48">
        <f>$Q$28*12*AE35</f>
        <v>3269.6159999999995</v>
      </c>
      <c r="AF28" s="48">
        <f>$Q$28*12*AF35</f>
        <v>9830.159999999998</v>
      </c>
      <c r="AG28" s="100">
        <v>1.48</v>
      </c>
      <c r="AH28" s="48">
        <f>$Q$28*12*AH35</f>
        <v>10643.567999999997</v>
      </c>
      <c r="AI28" s="100">
        <v>1.48</v>
      </c>
      <c r="AJ28" s="48">
        <f>$Q$28*12*AJ35</f>
        <v>10496.159999999998</v>
      </c>
      <c r="AK28" s="48">
        <f>$Q$28*12*AK35</f>
        <v>20821.824000000001</v>
      </c>
      <c r="AL28" s="48">
        <f>$Q$28*12*AL35</f>
        <v>10190.687999999998</v>
      </c>
      <c r="AM28" s="100">
        <v>1.48</v>
      </c>
      <c r="AN28" s="48">
        <f>$Q$28*12*AN35</f>
        <v>10039.727999999997</v>
      </c>
      <c r="AO28" s="61" t="s">
        <v>43</v>
      </c>
      <c r="AP28" s="52" t="s">
        <v>44</v>
      </c>
      <c r="AQ28" s="52">
        <v>1.37</v>
      </c>
      <c r="AR28" s="55">
        <f>$AQ$28*12*AR35</f>
        <v>7207.2960000000003</v>
      </c>
      <c r="AS28" s="30" t="s">
        <v>82</v>
      </c>
      <c r="AT28" s="64" t="s">
        <v>83</v>
      </c>
      <c r="AU28" s="65">
        <v>1.37</v>
      </c>
      <c r="AV28" s="24">
        <f>$AU$28*12*AV35</f>
        <v>9834.4080000000013</v>
      </c>
      <c r="AW28" s="24">
        <f t="shared" ref="AW28:BL28" si="130">$AU$28*12*AW35</f>
        <v>9132.42</v>
      </c>
      <c r="AX28" s="24">
        <f t="shared" si="130"/>
        <v>12075.18</v>
      </c>
      <c r="AY28" s="24">
        <f t="shared" si="130"/>
        <v>9485.880000000001</v>
      </c>
      <c r="AZ28" s="24">
        <f t="shared" si="130"/>
        <v>9313.26</v>
      </c>
      <c r="BA28" s="24">
        <f t="shared" si="130"/>
        <v>12111.348000000002</v>
      </c>
      <c r="BB28" s="24">
        <f t="shared" si="130"/>
        <v>3347.1840000000002</v>
      </c>
      <c r="BC28" s="24">
        <f t="shared" si="130"/>
        <v>10419.672</v>
      </c>
      <c r="BD28" s="24">
        <f t="shared" si="130"/>
        <v>7820.5080000000007</v>
      </c>
      <c r="BE28" s="24">
        <f t="shared" si="130"/>
        <v>6957.4080000000004</v>
      </c>
      <c r="BF28" s="24">
        <f t="shared" si="130"/>
        <v>8522.496000000001</v>
      </c>
      <c r="BG28" s="24">
        <f t="shared" si="130"/>
        <v>9962.6400000000012</v>
      </c>
      <c r="BH28" s="24">
        <f t="shared" si="130"/>
        <v>9382.3080000000009</v>
      </c>
      <c r="BI28" s="24">
        <f t="shared" si="130"/>
        <v>9398.7480000000014</v>
      </c>
      <c r="BJ28" s="24">
        <f t="shared" si="130"/>
        <v>9607.5360000000001</v>
      </c>
      <c r="BK28" s="24">
        <f t="shared" si="130"/>
        <v>9840.9840000000004</v>
      </c>
      <c r="BL28" s="24">
        <f t="shared" si="130"/>
        <v>10020.18</v>
      </c>
      <c r="BM28" s="65">
        <v>1.37</v>
      </c>
      <c r="BN28" s="24">
        <f>$AU$28*12*BN35</f>
        <v>11024.664000000001</v>
      </c>
      <c r="BO28" s="65">
        <v>1.37</v>
      </c>
      <c r="BP28" s="24">
        <f>$AU$28*12*BP35</f>
        <v>9864</v>
      </c>
      <c r="BQ28" s="79" t="s">
        <v>82</v>
      </c>
      <c r="BR28" s="64" t="s">
        <v>83</v>
      </c>
      <c r="BS28" s="100">
        <v>1.37</v>
      </c>
      <c r="BT28" s="48">
        <f>$BS$28*12*BT35</f>
        <v>10074.432000000001</v>
      </c>
      <c r="BU28" s="48">
        <f t="shared" ref="BU28:CB28" si="131">$BS$28*12*BU35</f>
        <v>9476.0159999999996</v>
      </c>
      <c r="BV28" s="48">
        <f t="shared" si="131"/>
        <v>9456.2880000000023</v>
      </c>
      <c r="BW28" s="48">
        <f t="shared" si="131"/>
        <v>9232.7040000000015</v>
      </c>
      <c r="BX28" s="100">
        <v>1.37</v>
      </c>
      <c r="BY28" s="48">
        <f>$BS$28*12*BY35</f>
        <v>10011.960000000001</v>
      </c>
      <c r="BZ28" s="100">
        <v>1.37</v>
      </c>
      <c r="CA28" s="48">
        <f t="shared" si="131"/>
        <v>9622.3320000000003</v>
      </c>
      <c r="CB28" s="48">
        <f t="shared" si="131"/>
        <v>9676.5840000000007</v>
      </c>
      <c r="CC28" s="79" t="s">
        <v>160</v>
      </c>
      <c r="CD28" s="64" t="s">
        <v>161</v>
      </c>
      <c r="CE28" s="100">
        <v>1.34</v>
      </c>
      <c r="CF28" s="48">
        <f t="shared" si="98"/>
        <v>9297.4560000000019</v>
      </c>
      <c r="CG28" s="117"/>
      <c r="CH28" s="117"/>
      <c r="CI28" s="117"/>
      <c r="CJ28" s="117"/>
      <c r="CK28" s="117"/>
    </row>
    <row r="29" spans="1:89" s="1" customFormat="1" ht="40.5" customHeight="1" x14ac:dyDescent="0.2">
      <c r="A29" s="30" t="s">
        <v>138</v>
      </c>
      <c r="B29" s="42" t="s">
        <v>21</v>
      </c>
      <c r="C29" s="65">
        <v>2.4</v>
      </c>
      <c r="D29" s="24">
        <f t="shared" ref="D29:J29" si="132">$C$29*12*D35</f>
        <v>11681.279999999999</v>
      </c>
      <c r="E29" s="24">
        <f t="shared" si="132"/>
        <v>11856.96</v>
      </c>
      <c r="F29" s="24">
        <f t="shared" si="132"/>
        <v>13576.319999999998</v>
      </c>
      <c r="G29" s="24">
        <f t="shared" si="132"/>
        <v>11646.719999999998</v>
      </c>
      <c r="H29" s="24">
        <f t="shared" si="132"/>
        <v>20491.199999999997</v>
      </c>
      <c r="I29" s="24">
        <f t="shared" si="132"/>
        <v>9665.2799999999988</v>
      </c>
      <c r="J29" s="24">
        <f t="shared" si="132"/>
        <v>16683.839999999997</v>
      </c>
      <c r="K29" s="24">
        <f t="shared" ref="K29:N29" si="133">$C$29*12*K35</f>
        <v>5546.8799999999992</v>
      </c>
      <c r="L29" s="24">
        <f t="shared" si="133"/>
        <v>5446.079999999999</v>
      </c>
      <c r="M29" s="24">
        <f t="shared" si="133"/>
        <v>17124.48</v>
      </c>
      <c r="N29" s="24">
        <f t="shared" si="133"/>
        <v>4910.3999999999996</v>
      </c>
      <c r="O29" s="79" t="s">
        <v>138</v>
      </c>
      <c r="P29" s="64" t="s">
        <v>21</v>
      </c>
      <c r="Q29" s="100">
        <v>0</v>
      </c>
      <c r="R29" s="48">
        <f t="shared" ref="R29:X29" si="134">$Q$29*12*R35</f>
        <v>0</v>
      </c>
      <c r="S29" s="48">
        <f t="shared" si="134"/>
        <v>0</v>
      </c>
      <c r="T29" s="48">
        <f t="shared" si="134"/>
        <v>0</v>
      </c>
      <c r="U29" s="48">
        <f t="shared" si="134"/>
        <v>0</v>
      </c>
      <c r="V29" s="48">
        <f t="shared" si="134"/>
        <v>0</v>
      </c>
      <c r="W29" s="48">
        <f t="shared" si="134"/>
        <v>0</v>
      </c>
      <c r="X29" s="48">
        <f t="shared" si="134"/>
        <v>0</v>
      </c>
      <c r="Y29" s="48">
        <f t="shared" ref="Y29:AC29" si="135">$Q$29*12*Y35</f>
        <v>0</v>
      </c>
      <c r="Z29" s="48">
        <f t="shared" si="135"/>
        <v>0</v>
      </c>
      <c r="AA29" s="48">
        <f t="shared" si="135"/>
        <v>0</v>
      </c>
      <c r="AB29" s="48">
        <f t="shared" si="135"/>
        <v>0</v>
      </c>
      <c r="AC29" s="48">
        <f t="shared" si="135"/>
        <v>0</v>
      </c>
      <c r="AD29" s="100">
        <v>0</v>
      </c>
      <c r="AE29" s="48">
        <f>$Q$29*12*AE35</f>
        <v>0</v>
      </c>
      <c r="AF29" s="48">
        <f>$Q$29*12*AF35</f>
        <v>0</v>
      </c>
      <c r="AG29" s="100">
        <v>0</v>
      </c>
      <c r="AH29" s="48">
        <f>$Q$29*12*AH35</f>
        <v>0</v>
      </c>
      <c r="AI29" s="100">
        <v>0</v>
      </c>
      <c r="AJ29" s="48">
        <f>$Q$29*12*AJ35</f>
        <v>0</v>
      </c>
      <c r="AK29" s="48">
        <f>$Q$29*12*AK35</f>
        <v>0</v>
      </c>
      <c r="AL29" s="48">
        <f>$Q$29*12*AL35</f>
        <v>0</v>
      </c>
      <c r="AM29" s="100">
        <v>0</v>
      </c>
      <c r="AN29" s="48">
        <f>$Q$29*12*AN35</f>
        <v>0</v>
      </c>
      <c r="AO29" s="61" t="s">
        <v>139</v>
      </c>
      <c r="AP29" s="52" t="s">
        <v>21</v>
      </c>
      <c r="AQ29" s="52">
        <v>2.4</v>
      </c>
      <c r="AR29" s="55">
        <f>$AQ$29*12*AR35</f>
        <v>12625.919999999998</v>
      </c>
      <c r="AS29" s="30" t="s">
        <v>140</v>
      </c>
      <c r="AT29" s="64" t="s">
        <v>21</v>
      </c>
      <c r="AU29" s="65">
        <v>2.4</v>
      </c>
      <c r="AV29" s="24">
        <f>$AU$29*12*AV35</f>
        <v>17228.16</v>
      </c>
      <c r="AW29" s="24">
        <f t="shared" ref="AW29:BL29" si="136">$AU$29*12*AW35</f>
        <v>15998.399999999998</v>
      </c>
      <c r="AX29" s="24">
        <f t="shared" si="136"/>
        <v>21153.599999999999</v>
      </c>
      <c r="AY29" s="24">
        <f t="shared" si="136"/>
        <v>16617.599999999999</v>
      </c>
      <c r="AZ29" s="24">
        <f t="shared" si="136"/>
        <v>16315.199999999999</v>
      </c>
      <c r="BA29" s="24">
        <f t="shared" si="136"/>
        <v>21216.959999999999</v>
      </c>
      <c r="BB29" s="24">
        <f t="shared" si="136"/>
        <v>5863.6799999999994</v>
      </c>
      <c r="BC29" s="24">
        <f t="shared" si="136"/>
        <v>18253.439999999999</v>
      </c>
      <c r="BD29" s="24">
        <f t="shared" si="136"/>
        <v>13700.159999999998</v>
      </c>
      <c r="BE29" s="24">
        <f t="shared" si="136"/>
        <v>12188.159999999998</v>
      </c>
      <c r="BF29" s="24">
        <f t="shared" si="136"/>
        <v>14929.919999999998</v>
      </c>
      <c r="BG29" s="24">
        <f t="shared" si="136"/>
        <v>17452.8</v>
      </c>
      <c r="BH29" s="24">
        <f t="shared" si="136"/>
        <v>16436.16</v>
      </c>
      <c r="BI29" s="24">
        <f t="shared" si="136"/>
        <v>16464.96</v>
      </c>
      <c r="BJ29" s="24">
        <f t="shared" si="136"/>
        <v>16830.719999999998</v>
      </c>
      <c r="BK29" s="24">
        <f t="shared" si="136"/>
        <v>17239.68</v>
      </c>
      <c r="BL29" s="24">
        <f t="shared" si="136"/>
        <v>17553.599999999999</v>
      </c>
      <c r="BM29" s="65">
        <v>2.4</v>
      </c>
      <c r="BN29" s="24">
        <f>$AU$29*12*BN35</f>
        <v>19313.28</v>
      </c>
      <c r="BO29" s="65">
        <v>2.4</v>
      </c>
      <c r="BP29" s="24">
        <f>$AU$29*12*BP35</f>
        <v>17280</v>
      </c>
      <c r="BQ29" s="79" t="s">
        <v>140</v>
      </c>
      <c r="BR29" s="64" t="s">
        <v>21</v>
      </c>
      <c r="BS29" s="100">
        <v>0</v>
      </c>
      <c r="BT29" s="48">
        <f>$BS$29*12*BT35</f>
        <v>0</v>
      </c>
      <c r="BU29" s="48">
        <f t="shared" ref="BU29:CB29" si="137">$BS$29*12*BU35</f>
        <v>0</v>
      </c>
      <c r="BV29" s="48">
        <f t="shared" si="137"/>
        <v>0</v>
      </c>
      <c r="BW29" s="48">
        <f t="shared" si="137"/>
        <v>0</v>
      </c>
      <c r="BX29" s="100">
        <v>0</v>
      </c>
      <c r="BY29" s="48">
        <f>$BS$29*12*BY35</f>
        <v>0</v>
      </c>
      <c r="BZ29" s="100">
        <v>0</v>
      </c>
      <c r="CA29" s="48">
        <f t="shared" si="137"/>
        <v>0</v>
      </c>
      <c r="CB29" s="48">
        <f t="shared" si="137"/>
        <v>0</v>
      </c>
      <c r="CC29" s="79" t="s">
        <v>165</v>
      </c>
      <c r="CD29" s="64" t="s">
        <v>21</v>
      </c>
      <c r="CE29" s="100">
        <v>0</v>
      </c>
      <c r="CF29" s="48">
        <f t="shared" si="98"/>
        <v>0</v>
      </c>
      <c r="CG29" s="117"/>
      <c r="CH29" s="117"/>
      <c r="CI29" s="117"/>
      <c r="CJ29" s="117"/>
      <c r="CK29" s="117"/>
    </row>
    <row r="30" spans="1:89" s="1" customFormat="1" ht="33" customHeight="1" x14ac:dyDescent="0.2">
      <c r="A30" s="30" t="s">
        <v>45</v>
      </c>
      <c r="B30" s="29" t="s">
        <v>3</v>
      </c>
      <c r="C30" s="65">
        <v>0.99</v>
      </c>
      <c r="D30" s="24">
        <f t="shared" ref="D30:J30" si="138">$C$30*12*D35</f>
        <v>4818.5280000000002</v>
      </c>
      <c r="E30" s="24">
        <f t="shared" si="138"/>
        <v>4890.9959999999992</v>
      </c>
      <c r="F30" s="24">
        <f t="shared" si="138"/>
        <v>5600.2319999999991</v>
      </c>
      <c r="G30" s="24">
        <f t="shared" si="138"/>
        <v>4804.271999999999</v>
      </c>
      <c r="H30" s="24">
        <f t="shared" si="138"/>
        <v>8452.619999999999</v>
      </c>
      <c r="I30" s="24">
        <f t="shared" si="138"/>
        <v>3986.9279999999999</v>
      </c>
      <c r="J30" s="24">
        <f t="shared" si="138"/>
        <v>6882.0839999999989</v>
      </c>
      <c r="K30" s="24">
        <f t="shared" ref="K30:N30" si="139">$C$30*12*K35</f>
        <v>2288.0879999999997</v>
      </c>
      <c r="L30" s="24">
        <f t="shared" si="139"/>
        <v>2246.5079999999998</v>
      </c>
      <c r="M30" s="24">
        <f t="shared" si="139"/>
        <v>7063.848</v>
      </c>
      <c r="N30" s="24">
        <f t="shared" si="139"/>
        <v>2025.5399999999997</v>
      </c>
      <c r="O30" s="79" t="s">
        <v>45</v>
      </c>
      <c r="P30" s="65" t="s">
        <v>3</v>
      </c>
      <c r="Q30" s="100">
        <v>0.99</v>
      </c>
      <c r="R30" s="48">
        <f t="shared" ref="R30:X30" si="140">$Q$30*12*R35</f>
        <v>5255.7119999999995</v>
      </c>
      <c r="S30" s="48">
        <f t="shared" si="140"/>
        <v>6343.9199999999992</v>
      </c>
      <c r="T30" s="48">
        <f t="shared" si="140"/>
        <v>6446.0879999999997</v>
      </c>
      <c r="U30" s="48">
        <f t="shared" si="140"/>
        <v>7175.5199999999995</v>
      </c>
      <c r="V30" s="48">
        <f t="shared" si="140"/>
        <v>7155.3239999999987</v>
      </c>
      <c r="W30" s="48">
        <f t="shared" si="140"/>
        <v>6367.6799999999994</v>
      </c>
      <c r="X30" s="48">
        <f t="shared" si="140"/>
        <v>6444.9</v>
      </c>
      <c r="Y30" s="48">
        <f t="shared" ref="Y30:AC30" si="141">$Q$30*12*Y35</f>
        <v>7546.1759999999995</v>
      </c>
      <c r="Z30" s="48">
        <f t="shared" si="141"/>
        <v>2430.6479999999997</v>
      </c>
      <c r="AA30" s="48">
        <f t="shared" si="141"/>
        <v>7806.348</v>
      </c>
      <c r="AB30" s="48">
        <f t="shared" si="141"/>
        <v>5628.7439999999997</v>
      </c>
      <c r="AC30" s="48">
        <f t="shared" si="141"/>
        <v>10474.596</v>
      </c>
      <c r="AD30" s="100">
        <v>0.99</v>
      </c>
      <c r="AE30" s="48">
        <f>$Q$30*12*AE35</f>
        <v>2187.1079999999997</v>
      </c>
      <c r="AF30" s="48">
        <f>$Q$30*12*AF35</f>
        <v>6575.579999999999</v>
      </c>
      <c r="AG30" s="100">
        <v>0.99</v>
      </c>
      <c r="AH30" s="48">
        <f>$Q$30*12*AH35</f>
        <v>7119.6839999999993</v>
      </c>
      <c r="AI30" s="100">
        <v>0.99</v>
      </c>
      <c r="AJ30" s="48">
        <f>$Q$30*12*AJ35</f>
        <v>7021.079999999999</v>
      </c>
      <c r="AK30" s="48">
        <f>$Q$30*12*AK35</f>
        <v>13928.111999999999</v>
      </c>
      <c r="AL30" s="48">
        <f>$Q$30*12*AL35</f>
        <v>6816.7439999999988</v>
      </c>
      <c r="AM30" s="100">
        <v>0.99</v>
      </c>
      <c r="AN30" s="48">
        <f>$Q$30*12*AN35</f>
        <v>6715.7639999999992</v>
      </c>
      <c r="AO30" s="61" t="s">
        <v>45</v>
      </c>
      <c r="AP30" s="52" t="s">
        <v>3</v>
      </c>
      <c r="AQ30" s="52">
        <v>0.84</v>
      </c>
      <c r="AR30" s="55">
        <f>$AQ$30*12*AR35</f>
        <v>4419.0720000000001</v>
      </c>
      <c r="AS30" s="30" t="s">
        <v>84</v>
      </c>
      <c r="AT30" s="64" t="s">
        <v>3</v>
      </c>
      <c r="AU30" s="65">
        <v>0.94</v>
      </c>
      <c r="AV30" s="24">
        <f>$AU$30*12*AV35</f>
        <v>6747.6959999999999</v>
      </c>
      <c r="AW30" s="24">
        <f t="shared" ref="AW30:BL30" si="142">$AU$30*12*AW35</f>
        <v>6266.04</v>
      </c>
      <c r="AX30" s="24">
        <f t="shared" si="142"/>
        <v>8285.16</v>
      </c>
      <c r="AY30" s="24">
        <f t="shared" si="142"/>
        <v>6508.5599999999995</v>
      </c>
      <c r="AZ30" s="24">
        <f t="shared" si="142"/>
        <v>6390.12</v>
      </c>
      <c r="BA30" s="24">
        <f t="shared" si="142"/>
        <v>8309.9760000000006</v>
      </c>
      <c r="BB30" s="24">
        <f t="shared" si="142"/>
        <v>2296.6079999999997</v>
      </c>
      <c r="BC30" s="24">
        <f t="shared" si="142"/>
        <v>7149.2639999999992</v>
      </c>
      <c r="BD30" s="24">
        <f t="shared" si="142"/>
        <v>5365.8959999999997</v>
      </c>
      <c r="BE30" s="24">
        <f t="shared" si="142"/>
        <v>4773.6959999999999</v>
      </c>
      <c r="BF30" s="24">
        <f t="shared" si="142"/>
        <v>5847.5519999999997</v>
      </c>
      <c r="BG30" s="24">
        <f t="shared" si="142"/>
        <v>6835.6799999999994</v>
      </c>
      <c r="BH30" s="24">
        <f t="shared" si="142"/>
        <v>6437.4960000000001</v>
      </c>
      <c r="BI30" s="24">
        <f t="shared" si="142"/>
        <v>6448.7759999999998</v>
      </c>
      <c r="BJ30" s="24">
        <f t="shared" si="142"/>
        <v>6592.0319999999992</v>
      </c>
      <c r="BK30" s="24">
        <f t="shared" si="142"/>
        <v>6752.2079999999996</v>
      </c>
      <c r="BL30" s="24">
        <f t="shared" si="142"/>
        <v>6875.16</v>
      </c>
      <c r="BM30" s="65">
        <v>0.94</v>
      </c>
      <c r="BN30" s="24">
        <f>$AU$30*12*BN35</f>
        <v>7564.3679999999995</v>
      </c>
      <c r="BO30" s="65">
        <v>0.94</v>
      </c>
      <c r="BP30" s="24">
        <f>$AU$30*12*BP35</f>
        <v>6768</v>
      </c>
      <c r="BQ30" s="79" t="s">
        <v>84</v>
      </c>
      <c r="BR30" s="65" t="s">
        <v>3</v>
      </c>
      <c r="BS30" s="100">
        <v>0.94</v>
      </c>
      <c r="BT30" s="48">
        <f>$BS$30*12*BT35</f>
        <v>6912.3839999999991</v>
      </c>
      <c r="BU30" s="48">
        <f t="shared" ref="BU30:CB30" si="143">$BS$30*12*BU35</f>
        <v>6501.7919999999995</v>
      </c>
      <c r="BV30" s="48">
        <f t="shared" si="143"/>
        <v>6488.2560000000003</v>
      </c>
      <c r="BW30" s="48">
        <f t="shared" si="143"/>
        <v>6334.848</v>
      </c>
      <c r="BX30" s="100">
        <v>0.94</v>
      </c>
      <c r="BY30" s="48">
        <f>$BS$30*12*BY35</f>
        <v>6869.5199999999995</v>
      </c>
      <c r="BZ30" s="100">
        <v>0.94</v>
      </c>
      <c r="CA30" s="48">
        <f t="shared" si="143"/>
        <v>6602.1839999999993</v>
      </c>
      <c r="CB30" s="48">
        <f t="shared" si="143"/>
        <v>6639.4079999999994</v>
      </c>
      <c r="CC30" s="79" t="s">
        <v>162</v>
      </c>
      <c r="CD30" s="65" t="s">
        <v>3</v>
      </c>
      <c r="CE30" s="100">
        <v>1.02</v>
      </c>
      <c r="CF30" s="48">
        <f t="shared" si="98"/>
        <v>7077.1680000000006</v>
      </c>
      <c r="CG30" s="117"/>
      <c r="CH30" s="117"/>
      <c r="CI30" s="117"/>
      <c r="CJ30" s="117"/>
      <c r="CK30" s="117"/>
    </row>
    <row r="31" spans="1:89" s="1" customFormat="1" x14ac:dyDescent="0.2">
      <c r="A31" s="30" t="s">
        <v>46</v>
      </c>
      <c r="B31" s="29" t="s">
        <v>5</v>
      </c>
      <c r="C31" s="65">
        <v>0.38</v>
      </c>
      <c r="D31" s="24">
        <f t="shared" ref="D31:J31" si="144">$C$31*12*D35</f>
        <v>1849.5360000000003</v>
      </c>
      <c r="E31" s="24">
        <f t="shared" si="144"/>
        <v>1877.3520000000001</v>
      </c>
      <c r="F31" s="24">
        <f t="shared" si="144"/>
        <v>2149.5840000000003</v>
      </c>
      <c r="G31" s="24">
        <f t="shared" si="144"/>
        <v>1844.0640000000001</v>
      </c>
      <c r="H31" s="24">
        <f t="shared" si="144"/>
        <v>3244.4400000000005</v>
      </c>
      <c r="I31" s="24">
        <f t="shared" si="144"/>
        <v>1530.3360000000002</v>
      </c>
      <c r="J31" s="24">
        <f t="shared" si="144"/>
        <v>2641.6080000000002</v>
      </c>
      <c r="K31" s="24">
        <f t="shared" ref="K31:N31" si="145">$C$31*12*K35</f>
        <v>878.25600000000009</v>
      </c>
      <c r="L31" s="24">
        <f t="shared" si="145"/>
        <v>862.29600000000005</v>
      </c>
      <c r="M31" s="24">
        <f t="shared" si="145"/>
        <v>2711.3760000000002</v>
      </c>
      <c r="N31" s="24">
        <f t="shared" si="145"/>
        <v>777.48000000000013</v>
      </c>
      <c r="O31" s="79" t="s">
        <v>46</v>
      </c>
      <c r="P31" s="65" t="s">
        <v>5</v>
      </c>
      <c r="Q31" s="100">
        <v>0.38</v>
      </c>
      <c r="R31" s="48">
        <f t="shared" ref="R31:X31" si="146">$Q$31*12*R35</f>
        <v>2017.3440000000001</v>
      </c>
      <c r="S31" s="48">
        <f t="shared" si="146"/>
        <v>2435.0400000000004</v>
      </c>
      <c r="T31" s="48">
        <f t="shared" si="146"/>
        <v>2474.2560000000003</v>
      </c>
      <c r="U31" s="48">
        <f t="shared" si="146"/>
        <v>2754.2400000000002</v>
      </c>
      <c r="V31" s="48">
        <f t="shared" si="146"/>
        <v>2746.4880000000003</v>
      </c>
      <c r="W31" s="48">
        <f t="shared" si="146"/>
        <v>2444.1600000000003</v>
      </c>
      <c r="X31" s="48">
        <f t="shared" si="146"/>
        <v>2473.8000000000002</v>
      </c>
      <c r="Y31" s="48">
        <f t="shared" ref="Y31:AC31" si="147">$Q$31*12*Y35</f>
        <v>2896.5120000000006</v>
      </c>
      <c r="Z31" s="48">
        <f t="shared" si="147"/>
        <v>932.97600000000011</v>
      </c>
      <c r="AA31" s="48">
        <f t="shared" si="147"/>
        <v>2996.3760000000002</v>
      </c>
      <c r="AB31" s="48">
        <f t="shared" si="147"/>
        <v>2160.5280000000002</v>
      </c>
      <c r="AC31" s="48">
        <f t="shared" si="147"/>
        <v>4020.5520000000006</v>
      </c>
      <c r="AD31" s="100">
        <v>0.38</v>
      </c>
      <c r="AE31" s="48">
        <f>$Q$31*12*AE35</f>
        <v>839.49600000000009</v>
      </c>
      <c r="AF31" s="48">
        <f>$Q$31*12*AF35</f>
        <v>2523.9600000000005</v>
      </c>
      <c r="AG31" s="100">
        <v>0.38</v>
      </c>
      <c r="AH31" s="48">
        <f>$Q$31*12*AH35</f>
        <v>2732.808</v>
      </c>
      <c r="AI31" s="100">
        <v>0.38</v>
      </c>
      <c r="AJ31" s="48">
        <f>$Q$31*12*AJ35</f>
        <v>2694.9600000000005</v>
      </c>
      <c r="AK31" s="48">
        <f>$Q$31*12*AK35</f>
        <v>5346.1440000000011</v>
      </c>
      <c r="AL31" s="48">
        <f>$Q$31*12*AL35</f>
        <v>2616.5280000000002</v>
      </c>
      <c r="AM31" s="100">
        <v>0.38</v>
      </c>
      <c r="AN31" s="48">
        <f>$Q$31*12*AN35</f>
        <v>2577.768</v>
      </c>
      <c r="AO31" s="61" t="s">
        <v>46</v>
      </c>
      <c r="AP31" s="52" t="s">
        <v>5</v>
      </c>
      <c r="AQ31" s="52">
        <v>0.41</v>
      </c>
      <c r="AR31" s="55">
        <f>$AQ$31*12*AR35</f>
        <v>2156.9279999999999</v>
      </c>
      <c r="AS31" s="30" t="s">
        <v>85</v>
      </c>
      <c r="AT31" s="64" t="s">
        <v>5</v>
      </c>
      <c r="AU31" s="75">
        <v>0.33</v>
      </c>
      <c r="AV31" s="24">
        <f>$AU$31*12*AV35</f>
        <v>2368.8720000000003</v>
      </c>
      <c r="AW31" s="24">
        <f t="shared" ref="AW31:BL31" si="148">$AU$31*12*AW35</f>
        <v>2199.7800000000002</v>
      </c>
      <c r="AX31" s="24">
        <f t="shared" si="148"/>
        <v>2908.62</v>
      </c>
      <c r="AY31" s="24">
        <f t="shared" si="148"/>
        <v>2284.92</v>
      </c>
      <c r="AZ31" s="24">
        <f t="shared" si="148"/>
        <v>2243.34</v>
      </c>
      <c r="BA31" s="24">
        <f t="shared" si="148"/>
        <v>2917.3320000000003</v>
      </c>
      <c r="BB31" s="24">
        <f t="shared" si="148"/>
        <v>806.25599999999997</v>
      </c>
      <c r="BC31" s="24">
        <f t="shared" si="148"/>
        <v>2509.848</v>
      </c>
      <c r="BD31" s="24">
        <f t="shared" si="148"/>
        <v>1883.7719999999999</v>
      </c>
      <c r="BE31" s="24">
        <f t="shared" si="148"/>
        <v>1675.8719999999998</v>
      </c>
      <c r="BF31" s="24">
        <f t="shared" si="148"/>
        <v>2052.864</v>
      </c>
      <c r="BG31" s="24">
        <f t="shared" si="148"/>
        <v>2399.7599999999998</v>
      </c>
      <c r="BH31" s="24">
        <f t="shared" si="148"/>
        <v>2259.9720000000002</v>
      </c>
      <c r="BI31" s="24">
        <f t="shared" si="148"/>
        <v>2263.9320000000002</v>
      </c>
      <c r="BJ31" s="24">
        <f t="shared" si="148"/>
        <v>2314.2239999999997</v>
      </c>
      <c r="BK31" s="24">
        <f t="shared" si="148"/>
        <v>2370.4560000000001</v>
      </c>
      <c r="BL31" s="24">
        <f t="shared" si="148"/>
        <v>2413.62</v>
      </c>
      <c r="BM31" s="75">
        <v>0.33</v>
      </c>
      <c r="BN31" s="24">
        <f>$AU$31*12*BN35</f>
        <v>2655.576</v>
      </c>
      <c r="BO31" s="75">
        <v>0.33</v>
      </c>
      <c r="BP31" s="24">
        <f>$AU$31*12*BP35</f>
        <v>2376</v>
      </c>
      <c r="BQ31" s="79" t="s">
        <v>85</v>
      </c>
      <c r="BR31" s="65" t="s">
        <v>5</v>
      </c>
      <c r="BS31" s="100">
        <v>0.33</v>
      </c>
      <c r="BT31" s="48">
        <f>$BS$31*12*BT35</f>
        <v>2426.6879999999996</v>
      </c>
      <c r="BU31" s="48">
        <f t="shared" ref="BU31:CB31" si="149">$BS$31*12*BU35</f>
        <v>2282.5439999999999</v>
      </c>
      <c r="BV31" s="48">
        <f t="shared" si="149"/>
        <v>2277.7920000000004</v>
      </c>
      <c r="BW31" s="48">
        <f t="shared" si="149"/>
        <v>2223.9360000000001</v>
      </c>
      <c r="BX31" s="100">
        <v>0.33</v>
      </c>
      <c r="BY31" s="48">
        <f>$BS$31*12*BY35</f>
        <v>2411.64</v>
      </c>
      <c r="BZ31" s="100">
        <v>0.33</v>
      </c>
      <c r="CA31" s="48">
        <f t="shared" si="149"/>
        <v>2317.788</v>
      </c>
      <c r="CB31" s="48">
        <f t="shared" si="149"/>
        <v>2330.8560000000002</v>
      </c>
      <c r="CC31" s="79" t="s">
        <v>163</v>
      </c>
      <c r="CD31" s="65" t="s">
        <v>5</v>
      </c>
      <c r="CE31" s="100">
        <v>0.39</v>
      </c>
      <c r="CF31" s="48">
        <f t="shared" si="98"/>
        <v>2705.9760000000001</v>
      </c>
      <c r="CG31" s="117"/>
      <c r="CH31" s="117"/>
      <c r="CI31" s="117"/>
      <c r="CJ31" s="117"/>
      <c r="CK31" s="117"/>
    </row>
    <row r="32" spans="1:89" s="6" customFormat="1" x14ac:dyDescent="0.2">
      <c r="A32" s="38" t="s">
        <v>23</v>
      </c>
      <c r="B32" s="29" t="s">
        <v>24</v>
      </c>
      <c r="C32" s="69">
        <f>2.21+0.15</f>
        <v>2.36</v>
      </c>
      <c r="D32" s="26">
        <f t="shared" ref="D32:J32" si="150">$C$32*12*D35</f>
        <v>11486.592000000001</v>
      </c>
      <c r="E32" s="26">
        <f t="shared" si="150"/>
        <v>11659.343999999999</v>
      </c>
      <c r="F32" s="26">
        <f t="shared" si="150"/>
        <v>13350.047999999999</v>
      </c>
      <c r="G32" s="26">
        <f t="shared" si="150"/>
        <v>11452.608</v>
      </c>
      <c r="H32" s="26">
        <f t="shared" si="150"/>
        <v>20149.68</v>
      </c>
      <c r="I32" s="26">
        <f t="shared" si="150"/>
        <v>9504.1920000000009</v>
      </c>
      <c r="J32" s="26">
        <f t="shared" si="150"/>
        <v>16405.775999999998</v>
      </c>
      <c r="K32" s="26">
        <f t="shared" ref="K32:N32" si="151">$C$32*12*K35</f>
        <v>5454.4319999999998</v>
      </c>
      <c r="L32" s="26">
        <f t="shared" si="151"/>
        <v>5355.3119999999999</v>
      </c>
      <c r="M32" s="26">
        <f t="shared" si="151"/>
        <v>16839.072</v>
      </c>
      <c r="N32" s="26">
        <f t="shared" si="151"/>
        <v>4828.5600000000004</v>
      </c>
      <c r="O32" s="81" t="s">
        <v>23</v>
      </c>
      <c r="P32" s="65" t="s">
        <v>24</v>
      </c>
      <c r="Q32" s="101">
        <f>2.01</f>
        <v>2.0099999999999998</v>
      </c>
      <c r="R32" s="91">
        <f>$Q$32*12*R35</f>
        <v>10670.687999999998</v>
      </c>
      <c r="S32" s="91">
        <f t="shared" ref="S32:U32" si="152">$Q$32*12*S35</f>
        <v>12880.079999999998</v>
      </c>
      <c r="T32" s="91">
        <f t="shared" si="152"/>
        <v>13087.511999999999</v>
      </c>
      <c r="U32" s="91">
        <f t="shared" si="152"/>
        <v>14568.479999999998</v>
      </c>
      <c r="V32" s="91">
        <f>$Q$32*12*V35</f>
        <v>14527.475999999997</v>
      </c>
      <c r="W32" s="91">
        <f>$Q$32*12*W35</f>
        <v>12928.319999999998</v>
      </c>
      <c r="X32" s="91">
        <f>$Q$32*12*X35</f>
        <v>13085.099999999999</v>
      </c>
      <c r="Y32" s="91">
        <f t="shared" ref="Y32:AC32" si="153">$Q$32*12*Y35</f>
        <v>15321.023999999999</v>
      </c>
      <c r="Z32" s="91">
        <f t="shared" si="153"/>
        <v>4934.9519999999993</v>
      </c>
      <c r="AA32" s="91">
        <f t="shared" si="153"/>
        <v>15849.251999999999</v>
      </c>
      <c r="AB32" s="91">
        <f t="shared" si="153"/>
        <v>11428.055999999999</v>
      </c>
      <c r="AC32" s="91">
        <f t="shared" si="153"/>
        <v>21266.603999999999</v>
      </c>
      <c r="AD32" s="101">
        <f>2.01+0.18</f>
        <v>2.19</v>
      </c>
      <c r="AE32" s="91">
        <f>$AD$32*12*AE35</f>
        <v>4838.1480000000001</v>
      </c>
      <c r="AF32" s="91">
        <f>$AD$32*12*AF35</f>
        <v>14545.980000000001</v>
      </c>
      <c r="AG32" s="101">
        <f>2.01+0.87</f>
        <v>2.88</v>
      </c>
      <c r="AH32" s="91">
        <f>AG32*12*AH35</f>
        <v>20711.808000000001</v>
      </c>
      <c r="AI32" s="101">
        <f>2.01+1.22</f>
        <v>3.2299999999999995</v>
      </c>
      <c r="AJ32" s="91">
        <f>$AI$32*12*AJ35</f>
        <v>22907.159999999996</v>
      </c>
      <c r="AK32" s="91">
        <f t="shared" ref="AK32:AL32" si="154">$AI$32*12*AK35</f>
        <v>45442.223999999995</v>
      </c>
      <c r="AL32" s="91">
        <f t="shared" si="154"/>
        <v>22240.487999999994</v>
      </c>
      <c r="AM32" s="101">
        <f>2.01+1.05</f>
        <v>3.0599999999999996</v>
      </c>
      <c r="AN32" s="91">
        <f>AM32*12*AN35</f>
        <v>20757.815999999999</v>
      </c>
      <c r="AO32" s="51" t="s">
        <v>23</v>
      </c>
      <c r="AP32" s="52" t="s">
        <v>24</v>
      </c>
      <c r="AQ32" s="88">
        <f>2.29+0.15</f>
        <v>2.44</v>
      </c>
      <c r="AR32" s="57">
        <f>$AQ$32*12*AR35</f>
        <v>12836.351999999999</v>
      </c>
      <c r="AS32" s="38" t="s">
        <v>23</v>
      </c>
      <c r="AT32" s="64" t="s">
        <v>24</v>
      </c>
      <c r="AU32" s="104">
        <f>2.78+0.15</f>
        <v>2.9299999999999997</v>
      </c>
      <c r="AV32" s="26">
        <f>$AU$32*12*AV35</f>
        <v>21032.712</v>
      </c>
      <c r="AW32" s="26">
        <f t="shared" ref="AW32:BL32" si="155">$AU$32*12*AW35</f>
        <v>19531.379999999997</v>
      </c>
      <c r="AX32" s="26">
        <f t="shared" si="155"/>
        <v>25825.019999999997</v>
      </c>
      <c r="AY32" s="26">
        <f t="shared" si="155"/>
        <v>20287.32</v>
      </c>
      <c r="AZ32" s="26">
        <f t="shared" si="155"/>
        <v>19918.14</v>
      </c>
      <c r="BA32" s="26">
        <f t="shared" si="155"/>
        <v>25902.371999999999</v>
      </c>
      <c r="BB32" s="26">
        <f t="shared" si="155"/>
        <v>7158.5759999999991</v>
      </c>
      <c r="BC32" s="26">
        <f t="shared" si="155"/>
        <v>22284.407999999996</v>
      </c>
      <c r="BD32" s="26">
        <f t="shared" si="155"/>
        <v>16725.611999999997</v>
      </c>
      <c r="BE32" s="26">
        <f t="shared" si="155"/>
        <v>14879.711999999998</v>
      </c>
      <c r="BF32" s="26">
        <f t="shared" si="155"/>
        <v>18226.943999999996</v>
      </c>
      <c r="BG32" s="26">
        <f t="shared" si="155"/>
        <v>21306.959999999999</v>
      </c>
      <c r="BH32" s="26">
        <f t="shared" si="155"/>
        <v>20065.811999999998</v>
      </c>
      <c r="BI32" s="26">
        <f t="shared" si="155"/>
        <v>20100.971999999998</v>
      </c>
      <c r="BJ32" s="26">
        <f t="shared" si="155"/>
        <v>20547.503999999997</v>
      </c>
      <c r="BK32" s="26">
        <f t="shared" si="155"/>
        <v>21046.775999999998</v>
      </c>
      <c r="BL32" s="26">
        <f t="shared" si="155"/>
        <v>21430.019999999997</v>
      </c>
      <c r="BM32" s="104">
        <f>2.78+0.15+1.05</f>
        <v>3.9799999999999995</v>
      </c>
      <c r="BN32" s="26">
        <f>BM32*12*BN35</f>
        <v>32027.855999999996</v>
      </c>
      <c r="BO32" s="104">
        <f>2.78+0.15+1.31</f>
        <v>4.24</v>
      </c>
      <c r="BP32" s="26">
        <f>BO32*12*BP35</f>
        <v>30528</v>
      </c>
      <c r="BQ32" s="81" t="s">
        <v>23</v>
      </c>
      <c r="BR32" s="65" t="s">
        <v>24</v>
      </c>
      <c r="BS32" s="101">
        <f>2.48</f>
        <v>2.48</v>
      </c>
      <c r="BT32" s="91">
        <f>$BS$32*12*BT35</f>
        <v>18236.927999999996</v>
      </c>
      <c r="BU32" s="91">
        <f t="shared" ref="BU32:BW32" si="156">$BS$32*12*BU35</f>
        <v>17153.663999999997</v>
      </c>
      <c r="BV32" s="91">
        <f t="shared" si="156"/>
        <v>17117.952000000001</v>
      </c>
      <c r="BW32" s="91">
        <f t="shared" si="156"/>
        <v>16713.216</v>
      </c>
      <c r="BX32" s="101">
        <f>2.48+1.05</f>
        <v>3.5300000000000002</v>
      </c>
      <c r="BY32" s="91">
        <f>BX32*12*BY35</f>
        <v>25797.239999999998</v>
      </c>
      <c r="BZ32" s="101">
        <f>2.48+0.87</f>
        <v>3.35</v>
      </c>
      <c r="CA32" s="91">
        <f>$BZ$32*12*CA35</f>
        <v>23529.06</v>
      </c>
      <c r="CB32" s="91">
        <f>$BZ$32*12*CB35</f>
        <v>23661.72</v>
      </c>
      <c r="CC32" s="81" t="s">
        <v>23</v>
      </c>
      <c r="CD32" s="111" t="s">
        <v>24</v>
      </c>
      <c r="CE32" s="101">
        <f>2.32</f>
        <v>2.3199999999999998</v>
      </c>
      <c r="CF32" s="48">
        <f t="shared" si="98"/>
        <v>16097.088</v>
      </c>
      <c r="CG32" s="118"/>
      <c r="CH32" s="118"/>
      <c r="CI32" s="118"/>
      <c r="CJ32" s="118"/>
      <c r="CK32" s="118"/>
    </row>
    <row r="33" spans="1:136" s="1" customFormat="1" x14ac:dyDescent="0.2">
      <c r="A33" s="38" t="s">
        <v>27</v>
      </c>
      <c r="B33" s="29" t="s">
        <v>24</v>
      </c>
      <c r="C33" s="69">
        <v>0.65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95">
        <v>0</v>
      </c>
      <c r="J33" s="95">
        <v>0</v>
      </c>
      <c r="K33" s="95">
        <f>C33*12*K35</f>
        <v>1502.2800000000002</v>
      </c>
      <c r="L33" s="95">
        <f>C33*12*L35</f>
        <v>1474.98</v>
      </c>
      <c r="M33" s="95">
        <v>0</v>
      </c>
      <c r="N33" s="95">
        <v>0</v>
      </c>
      <c r="O33" s="81" t="s">
        <v>27</v>
      </c>
      <c r="P33" s="65" t="s">
        <v>24</v>
      </c>
      <c r="Q33" s="101">
        <v>0.65</v>
      </c>
      <c r="R33" s="92">
        <v>0</v>
      </c>
      <c r="S33" s="92">
        <v>0</v>
      </c>
      <c r="T33" s="102">
        <f>Q33*12*T35</f>
        <v>4232.2800000000007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f>AC35*12*C33</f>
        <v>6877.2600000000011</v>
      </c>
      <c r="AD33" s="101">
        <v>0.65</v>
      </c>
      <c r="AE33" s="92">
        <v>0</v>
      </c>
      <c r="AF33" s="92">
        <v>0</v>
      </c>
      <c r="AG33" s="101">
        <v>0.65</v>
      </c>
      <c r="AH33" s="92">
        <v>0</v>
      </c>
      <c r="AI33" s="101">
        <v>0.65</v>
      </c>
      <c r="AJ33" s="92">
        <v>0</v>
      </c>
      <c r="AK33" s="92">
        <v>0</v>
      </c>
      <c r="AL33" s="92">
        <v>0</v>
      </c>
      <c r="AM33" s="101">
        <v>0.65</v>
      </c>
      <c r="AN33" s="102">
        <v>0</v>
      </c>
      <c r="AO33" s="51" t="s">
        <v>27</v>
      </c>
      <c r="AP33" s="52" t="s">
        <v>24</v>
      </c>
      <c r="AQ33" s="88">
        <v>0.65</v>
      </c>
      <c r="AR33" s="92">
        <v>0</v>
      </c>
      <c r="AS33" s="38" t="s">
        <v>86</v>
      </c>
      <c r="AT33" s="64" t="s">
        <v>24</v>
      </c>
      <c r="AU33" s="69">
        <v>0.65</v>
      </c>
      <c r="AV33" s="26">
        <f>$AU$33*12*AV35</f>
        <v>4665.9600000000009</v>
      </c>
      <c r="AW33" s="26">
        <f t="shared" ref="AW33:BL33" si="157">$AU$33*12*AW35</f>
        <v>4332.9000000000005</v>
      </c>
      <c r="AX33" s="26">
        <f t="shared" si="157"/>
        <v>5729.1</v>
      </c>
      <c r="AY33" s="26">
        <f t="shared" si="157"/>
        <v>4500.6000000000004</v>
      </c>
      <c r="AZ33" s="26">
        <f t="shared" si="157"/>
        <v>4418.7000000000007</v>
      </c>
      <c r="BA33" s="26">
        <f t="shared" si="157"/>
        <v>5746.2600000000011</v>
      </c>
      <c r="BB33" s="26">
        <f t="shared" si="157"/>
        <v>1588.0800000000002</v>
      </c>
      <c r="BC33" s="26">
        <v>0</v>
      </c>
      <c r="BD33" s="26">
        <v>0</v>
      </c>
      <c r="BE33" s="26">
        <f t="shared" si="157"/>
        <v>3300.96</v>
      </c>
      <c r="BF33" s="26">
        <f t="shared" si="157"/>
        <v>4043.52</v>
      </c>
      <c r="BG33" s="26">
        <f t="shared" si="157"/>
        <v>4726.8</v>
      </c>
      <c r="BH33" s="26">
        <f t="shared" si="157"/>
        <v>4451.4600000000009</v>
      </c>
      <c r="BI33" s="26">
        <f t="shared" si="157"/>
        <v>4459.2600000000011</v>
      </c>
      <c r="BJ33" s="26">
        <f t="shared" si="157"/>
        <v>4558.3200000000006</v>
      </c>
      <c r="BK33" s="26">
        <v>0</v>
      </c>
      <c r="BL33" s="26">
        <f t="shared" si="157"/>
        <v>4754.1000000000004</v>
      </c>
      <c r="BM33" s="69">
        <v>0.65</v>
      </c>
      <c r="BN33" s="26">
        <f>$AU$33*12*BN35</f>
        <v>5230.68</v>
      </c>
      <c r="BO33" s="69">
        <v>0.65</v>
      </c>
      <c r="BP33" s="26">
        <v>0</v>
      </c>
      <c r="BQ33" s="81" t="s">
        <v>86</v>
      </c>
      <c r="BR33" s="65" t="s">
        <v>24</v>
      </c>
      <c r="BS33" s="101">
        <v>0.65</v>
      </c>
      <c r="BT33" s="92">
        <f>$BS$33*12*BT35</f>
        <v>4779.84</v>
      </c>
      <c r="BU33" s="92">
        <v>0</v>
      </c>
      <c r="BV33" s="92">
        <f t="shared" ref="BV33:CB33" si="158">$BS$33*12*BV35</f>
        <v>4486.5600000000004</v>
      </c>
      <c r="BW33" s="92">
        <f t="shared" si="158"/>
        <v>4380.4800000000005</v>
      </c>
      <c r="BX33" s="101">
        <v>0.65</v>
      </c>
      <c r="BY33" s="92">
        <v>0</v>
      </c>
      <c r="BZ33" s="101">
        <v>0.65</v>
      </c>
      <c r="CA33" s="92">
        <f t="shared" si="158"/>
        <v>4565.34</v>
      </c>
      <c r="CB33" s="92">
        <f t="shared" si="158"/>
        <v>4591.0800000000008</v>
      </c>
      <c r="CC33" s="81" t="s">
        <v>27</v>
      </c>
      <c r="CD33" s="65" t="s">
        <v>24</v>
      </c>
      <c r="CE33" s="101">
        <v>0.65</v>
      </c>
      <c r="CF33" s="48">
        <f t="shared" si="98"/>
        <v>4509.9600000000009</v>
      </c>
      <c r="CG33" s="117"/>
      <c r="CH33" s="117"/>
      <c r="CI33" s="117"/>
      <c r="CJ33" s="117"/>
      <c r="CK33" s="117"/>
    </row>
    <row r="34" spans="1:136" s="11" customFormat="1" ht="24" x14ac:dyDescent="0.2">
      <c r="A34" s="35" t="s">
        <v>2</v>
      </c>
      <c r="B34" s="33"/>
      <c r="C34" s="72"/>
      <c r="D34" s="9">
        <f>D32+D26+D22+D12+D9+D33</f>
        <v>113892.48</v>
      </c>
      <c r="E34" s="9">
        <f t="shared" ref="E34:J34" si="159">E32+E26+E22+E12+E9+E33</f>
        <v>115605.35999999999</v>
      </c>
      <c r="F34" s="9">
        <f t="shared" si="159"/>
        <v>132369.12</v>
      </c>
      <c r="G34" s="9">
        <f t="shared" si="159"/>
        <v>113555.51999999997</v>
      </c>
      <c r="H34" s="9">
        <f t="shared" si="159"/>
        <v>199789.19999999998</v>
      </c>
      <c r="I34" s="9">
        <f t="shared" si="159"/>
        <v>94236.48000000001</v>
      </c>
      <c r="J34" s="9">
        <f t="shared" si="159"/>
        <v>162667.43999999997</v>
      </c>
      <c r="K34" s="9">
        <f>K32+K26+K22+K12+K9+K33</f>
        <v>52880.255999999994</v>
      </c>
      <c r="L34" s="9">
        <f t="shared" ref="L34:N34" si="160">L32+L26+L22+L12+L9+L33</f>
        <v>51919.296000000009</v>
      </c>
      <c r="M34" s="9">
        <f t="shared" si="160"/>
        <v>166963.68</v>
      </c>
      <c r="N34" s="9">
        <f t="shared" si="160"/>
        <v>47876.4</v>
      </c>
      <c r="O34" s="82" t="s">
        <v>2</v>
      </c>
      <c r="P34" s="72"/>
      <c r="Q34" s="82"/>
      <c r="R34" s="49">
        <f>R32+R26+R22+R12+R9+R33</f>
        <v>96195.455999999991</v>
      </c>
      <c r="S34" s="49">
        <f t="shared" ref="S34:X34" si="161">S32+S26+S22+S12+S9+S33</f>
        <v>116112.95999999999</v>
      </c>
      <c r="T34" s="49">
        <f t="shared" si="161"/>
        <v>122215.22400000002</v>
      </c>
      <c r="U34" s="49">
        <f t="shared" si="161"/>
        <v>131333.76000000001</v>
      </c>
      <c r="V34" s="49">
        <f t="shared" si="161"/>
        <v>130964.11199999999</v>
      </c>
      <c r="W34" s="49">
        <f t="shared" si="161"/>
        <v>116547.83999999998</v>
      </c>
      <c r="X34" s="49">
        <f t="shared" si="161"/>
        <v>117961.19999999998</v>
      </c>
      <c r="Y34" s="49">
        <f t="shared" ref="Y34:AC34" si="162">Y32+Y26+Y22+Y12+Y9+Y33</f>
        <v>138117.88799999998</v>
      </c>
      <c r="Z34" s="49">
        <f t="shared" si="162"/>
        <v>44488.224000000002</v>
      </c>
      <c r="AA34" s="49">
        <f t="shared" si="162"/>
        <v>142879.82399999999</v>
      </c>
      <c r="AB34" s="49">
        <f t="shared" si="162"/>
        <v>103023.072</v>
      </c>
      <c r="AC34" s="49">
        <f t="shared" si="162"/>
        <v>198594.10800000001</v>
      </c>
      <c r="AD34" s="82"/>
      <c r="AE34" s="49">
        <f>AE32+AE26+AE22+AE12+AE9+AE33</f>
        <v>42924.755999999994</v>
      </c>
      <c r="AF34" s="49">
        <f>AF32+AF26+AF22+AF12+AF9+AF33</f>
        <v>129054.05999999998</v>
      </c>
      <c r="AG34" s="82"/>
      <c r="AH34" s="49">
        <f>AH32+AH26+AH22+AH12+AH9+AH33</f>
        <v>171088.16399999999</v>
      </c>
      <c r="AI34" s="82"/>
      <c r="AJ34" s="49">
        <f>AJ32+AJ26+AJ22+AJ12+AJ9+AJ33</f>
        <v>187157.87999999998</v>
      </c>
      <c r="AK34" s="49">
        <f>AK32+AK26+AK22+AK12+AK9+AK33</f>
        <v>371275.63200000004</v>
      </c>
      <c r="AL34" s="49">
        <f>AL32+AL26+AL22+AL12+AL9+AL33</f>
        <v>181710.984</v>
      </c>
      <c r="AM34" s="82"/>
      <c r="AN34" s="49">
        <f>AN32+AN26+AN22+AN12+AN9+AN33</f>
        <v>169997.01599999997</v>
      </c>
      <c r="AO34" s="53" t="s">
        <v>2</v>
      </c>
      <c r="AP34" s="53"/>
      <c r="AQ34" s="53"/>
      <c r="AR34" s="49">
        <f>AR32+AR26+AR22+AR14+AR9+AR33</f>
        <v>123523.584</v>
      </c>
      <c r="AS34" s="35" t="s">
        <v>2</v>
      </c>
      <c r="AT34" s="71"/>
      <c r="AU34" s="72"/>
      <c r="AV34" s="9">
        <f>AV32+AV26+AV22+AV14+AV9+AV33</f>
        <v>164816.06399999998</v>
      </c>
      <c r="AW34" s="9">
        <f t="shared" ref="AW34:BL34" si="163">AW32+AW26+AW22+AW14+AW9+AW33</f>
        <v>153051.35999999996</v>
      </c>
      <c r="AX34" s="9">
        <f t="shared" si="163"/>
        <v>202369.43999999997</v>
      </c>
      <c r="AY34" s="9">
        <f t="shared" si="163"/>
        <v>158975.03999999998</v>
      </c>
      <c r="AZ34" s="9">
        <f t="shared" si="163"/>
        <v>156082.07999999999</v>
      </c>
      <c r="BA34" s="9">
        <f t="shared" si="163"/>
        <v>202975.58400000003</v>
      </c>
      <c r="BB34" s="9">
        <f t="shared" si="163"/>
        <v>56095.871999999996</v>
      </c>
      <c r="BC34" s="9">
        <f t="shared" si="163"/>
        <v>169680.93599999996</v>
      </c>
      <c r="BD34" s="9">
        <f t="shared" si="163"/>
        <v>127354.40399999998</v>
      </c>
      <c r="BE34" s="9">
        <f t="shared" si="163"/>
        <v>116600.064</v>
      </c>
      <c r="BF34" s="9">
        <f t="shared" si="163"/>
        <v>142829.568</v>
      </c>
      <c r="BG34" s="9">
        <f t="shared" si="163"/>
        <v>166965.11999999997</v>
      </c>
      <c r="BH34" s="9">
        <f t="shared" si="163"/>
        <v>157239.264</v>
      </c>
      <c r="BI34" s="9">
        <f t="shared" si="163"/>
        <v>157514.78400000001</v>
      </c>
      <c r="BJ34" s="9">
        <f t="shared" si="163"/>
        <v>161013.88799999998</v>
      </c>
      <c r="BK34" s="9">
        <f t="shared" si="163"/>
        <v>160257.19200000001</v>
      </c>
      <c r="BL34" s="9">
        <f t="shared" si="163"/>
        <v>167929.43999999997</v>
      </c>
      <c r="BM34" s="72"/>
      <c r="BN34" s="9">
        <f>BN32+BN26+BN22+BN14+BN9+BN33</f>
        <v>240611.27999999997</v>
      </c>
      <c r="BO34" s="72"/>
      <c r="BP34" s="9">
        <f>BP32+BP26+BP22+BP14+BP9+BP33</f>
        <v>232200</v>
      </c>
      <c r="BQ34" s="82" t="s">
        <v>2</v>
      </c>
      <c r="BR34" s="72"/>
      <c r="BS34" s="82"/>
      <c r="BT34" s="49">
        <f>BT32+BT26+BT22+BT14+BT9+BT33</f>
        <v>124569.984</v>
      </c>
      <c r="BU34" s="49">
        <f t="shared" ref="BU34:CB34" si="164">BU32+BU26+BU22+BU14+BU9+BU33</f>
        <v>112674.67199999999</v>
      </c>
      <c r="BV34" s="49">
        <f t="shared" si="164"/>
        <v>116926.65600000002</v>
      </c>
      <c r="BW34" s="49">
        <f t="shared" si="164"/>
        <v>114162.04800000001</v>
      </c>
      <c r="BX34" s="82"/>
      <c r="BY34" s="49">
        <f>BY32+BY26+BY22+BY14+BY9+BY33</f>
        <v>169764.83999999997</v>
      </c>
      <c r="BZ34" s="82"/>
      <c r="CA34" s="49">
        <f t="shared" si="164"/>
        <v>158803.59599999999</v>
      </c>
      <c r="CB34" s="49">
        <f t="shared" si="164"/>
        <v>159698.95199999996</v>
      </c>
      <c r="CC34" s="82" t="s">
        <v>2</v>
      </c>
      <c r="CD34" s="72"/>
      <c r="CE34" s="82"/>
      <c r="CF34" s="49">
        <f>CF32+CF26+CF22+CF14+CF9+CF33</f>
        <v>108655.34400000001</v>
      </c>
      <c r="CG34" s="119">
        <f>CF34+CB34+CA34+BY34+BW34+BV34+BU34+BT34+BP34+BN34+BL34+BK34+BJ34+BI34+BH34+BG34+BF34+BE34+BD34+BC34+BB34+BA34+AZ34+AY34+AX34+AW34+AV34+AR34+AN34+AL34+AK34+AJ34+AH34+AF34+AE34+AC34+AB34+AA34+Z34+Y34+X34+W34+V34+U34+T34+S34+R34+N34+M34+L34+K34+J34+I34+H34+G34+F34+E34+D34</f>
        <v>8246738.4480000017</v>
      </c>
      <c r="CH34" s="119">
        <f>CG34/12</f>
        <v>687228.20400000014</v>
      </c>
      <c r="CI34" s="119">
        <f>CH34*5/100</f>
        <v>34361.410200000006</v>
      </c>
      <c r="CJ34" s="120"/>
      <c r="CK34" s="120"/>
    </row>
    <row r="35" spans="1:136" s="2" customFormat="1" ht="25.5" customHeight="1" x14ac:dyDescent="0.2">
      <c r="A35" s="35" t="s">
        <v>1</v>
      </c>
      <c r="B35" s="33"/>
      <c r="C35" s="34"/>
      <c r="D35" s="44">
        <v>405.6</v>
      </c>
      <c r="E35" s="44">
        <v>411.7</v>
      </c>
      <c r="F35" s="44">
        <v>471.4</v>
      </c>
      <c r="G35" s="44">
        <v>404.4</v>
      </c>
      <c r="H35" s="44">
        <v>711.5</v>
      </c>
      <c r="I35" s="44">
        <v>335.6</v>
      </c>
      <c r="J35" s="44">
        <v>579.29999999999995</v>
      </c>
      <c r="K35" s="44">
        <v>192.6</v>
      </c>
      <c r="L35" s="44">
        <v>189.1</v>
      </c>
      <c r="M35" s="44">
        <v>594.6</v>
      </c>
      <c r="N35" s="44">
        <v>170.5</v>
      </c>
      <c r="O35" s="82" t="s">
        <v>1</v>
      </c>
      <c r="P35" s="72"/>
      <c r="Q35" s="47"/>
      <c r="R35" s="50">
        <v>442.4</v>
      </c>
      <c r="S35" s="50">
        <v>534</v>
      </c>
      <c r="T35" s="50">
        <v>542.6</v>
      </c>
      <c r="U35" s="50">
        <v>604</v>
      </c>
      <c r="V35" s="84">
        <v>602.29999999999995</v>
      </c>
      <c r="W35" s="50">
        <v>536</v>
      </c>
      <c r="X35" s="50">
        <v>542.5</v>
      </c>
      <c r="Y35" s="50">
        <v>635.20000000000005</v>
      </c>
      <c r="Z35" s="50">
        <v>204.6</v>
      </c>
      <c r="AA35" s="50">
        <v>657.1</v>
      </c>
      <c r="AB35" s="50">
        <v>473.8</v>
      </c>
      <c r="AC35" s="50">
        <v>881.7</v>
      </c>
      <c r="AD35" s="47"/>
      <c r="AE35" s="50">
        <v>184.1</v>
      </c>
      <c r="AF35" s="50">
        <v>553.5</v>
      </c>
      <c r="AG35" s="47"/>
      <c r="AH35" s="50">
        <v>599.29999999999995</v>
      </c>
      <c r="AI35" s="47"/>
      <c r="AJ35" s="50">
        <v>591</v>
      </c>
      <c r="AK35" s="50">
        <v>1172.4000000000001</v>
      </c>
      <c r="AL35" s="50">
        <v>573.79999999999995</v>
      </c>
      <c r="AM35" s="47"/>
      <c r="AN35" s="50">
        <v>565.29999999999995</v>
      </c>
      <c r="AO35" s="53" t="s">
        <v>1</v>
      </c>
      <c r="AP35" s="53"/>
      <c r="AQ35" s="87"/>
      <c r="AR35" s="50">
        <v>438.4</v>
      </c>
      <c r="AS35" s="35" t="s">
        <v>1</v>
      </c>
      <c r="AT35" s="71"/>
      <c r="AU35" s="34"/>
      <c r="AV35" s="73">
        <v>598.20000000000005</v>
      </c>
      <c r="AW35" s="73">
        <v>555.5</v>
      </c>
      <c r="AX35" s="73">
        <v>734.5</v>
      </c>
      <c r="AY35" s="73">
        <v>577</v>
      </c>
      <c r="AZ35" s="73">
        <v>566.5</v>
      </c>
      <c r="BA35" s="73">
        <v>736.7</v>
      </c>
      <c r="BB35" s="73">
        <v>203.6</v>
      </c>
      <c r="BC35" s="73">
        <v>633.79999999999995</v>
      </c>
      <c r="BD35" s="73">
        <v>475.7</v>
      </c>
      <c r="BE35" s="73">
        <v>423.2</v>
      </c>
      <c r="BF35" s="73">
        <v>518.4</v>
      </c>
      <c r="BG35" s="73">
        <v>606</v>
      </c>
      <c r="BH35" s="73">
        <v>570.70000000000005</v>
      </c>
      <c r="BI35" s="73">
        <v>571.70000000000005</v>
      </c>
      <c r="BJ35" s="73">
        <v>584.4</v>
      </c>
      <c r="BK35" s="73">
        <v>598.6</v>
      </c>
      <c r="BL35" s="73">
        <v>609.5</v>
      </c>
      <c r="BM35" s="34"/>
      <c r="BN35" s="73">
        <v>670.6</v>
      </c>
      <c r="BO35" s="34"/>
      <c r="BP35" s="73">
        <v>600</v>
      </c>
      <c r="BQ35" s="82" t="s">
        <v>1</v>
      </c>
      <c r="BR35" s="72"/>
      <c r="BS35" s="47"/>
      <c r="BT35" s="108">
        <v>612.79999999999995</v>
      </c>
      <c r="BU35" s="108">
        <v>576.4</v>
      </c>
      <c r="BV35" s="108">
        <v>575.20000000000005</v>
      </c>
      <c r="BW35" s="108">
        <v>561.6</v>
      </c>
      <c r="BX35" s="47"/>
      <c r="BY35" s="108">
        <v>609</v>
      </c>
      <c r="BZ35" s="47"/>
      <c r="CA35" s="108">
        <v>585.29999999999995</v>
      </c>
      <c r="CB35" s="108">
        <v>588.6</v>
      </c>
      <c r="CC35" s="82" t="s">
        <v>1</v>
      </c>
      <c r="CD35" s="72"/>
      <c r="CE35" s="47"/>
      <c r="CF35" s="108">
        <v>578.20000000000005</v>
      </c>
      <c r="CG35" s="119">
        <f>CF35+CB35+CA35+BY35+BW35+BV35+BU35+BT35+BP35+BN35+BL35+BK35+BJ35+BI35+BH35+BG35+BF35+BE35+BD35+BC35+BB35+BA35+AZ35+AY35+AX35+AW35+AV35+AR35+AN35+AL35+AK35+AJ35+AH35+AF35+AE35+AC35+AB35+AA35+Z35+Y35+X35+W35+V35+U35+T35+S35+R35+N35+M35+L35+K35+J35+I35+H35+G35+F35+E35+D35</f>
        <v>31321.999999999996</v>
      </c>
      <c r="CH35" s="121"/>
      <c r="CI35" s="121">
        <f>CG35*70*80/100</f>
        <v>1754031.9999999998</v>
      </c>
      <c r="CJ35" s="122"/>
      <c r="CK35" s="122"/>
    </row>
    <row r="36" spans="1:136" s="2" customFormat="1" ht="25.5" customHeight="1" x14ac:dyDescent="0.2">
      <c r="A36" s="35" t="s">
        <v>28</v>
      </c>
      <c r="B36" s="34"/>
      <c r="C36" s="34"/>
      <c r="D36" s="10">
        <f t="shared" ref="D36:F36" si="165">D34/12/D35</f>
        <v>23.399999999999995</v>
      </c>
      <c r="E36" s="10">
        <f t="shared" si="165"/>
        <v>23.4</v>
      </c>
      <c r="F36" s="10">
        <f t="shared" si="165"/>
        <v>23.400000000000002</v>
      </c>
      <c r="G36" s="10">
        <f t="shared" ref="G36:H36" si="166">G34/12/G35</f>
        <v>23.399999999999995</v>
      </c>
      <c r="H36" s="10">
        <f t="shared" si="166"/>
        <v>23.4</v>
      </c>
      <c r="I36" s="10">
        <f t="shared" ref="I36:J36" si="167">I34/12/I35</f>
        <v>23.400000000000002</v>
      </c>
      <c r="J36" s="10">
        <f t="shared" si="167"/>
        <v>23.4</v>
      </c>
      <c r="K36" s="10">
        <f t="shared" ref="K36:N36" si="168">K34/12/K35</f>
        <v>22.879999999999995</v>
      </c>
      <c r="L36" s="10">
        <f t="shared" si="168"/>
        <v>22.880000000000006</v>
      </c>
      <c r="M36" s="10">
        <f t="shared" si="168"/>
        <v>23.4</v>
      </c>
      <c r="N36" s="10">
        <f t="shared" si="168"/>
        <v>23.400000000000002</v>
      </c>
      <c r="O36" s="35" t="s">
        <v>28</v>
      </c>
      <c r="P36" s="34"/>
      <c r="Q36" s="47"/>
      <c r="R36" s="49">
        <f t="shared" ref="R36:X36" si="169">R34 /12/R35</f>
        <v>18.12</v>
      </c>
      <c r="S36" s="49">
        <f t="shared" si="169"/>
        <v>18.12</v>
      </c>
      <c r="T36" s="49">
        <f t="shared" si="169"/>
        <v>18.77</v>
      </c>
      <c r="U36" s="49">
        <f t="shared" si="169"/>
        <v>18.12</v>
      </c>
      <c r="V36" s="49">
        <f t="shared" si="169"/>
        <v>18.12</v>
      </c>
      <c r="W36" s="49">
        <f t="shared" si="169"/>
        <v>18.119999999999997</v>
      </c>
      <c r="X36" s="49">
        <f t="shared" si="169"/>
        <v>18.119999999999997</v>
      </c>
      <c r="Y36" s="49">
        <f t="shared" ref="Y36:AC36" si="170">Y34 /12/Y35</f>
        <v>18.119999999999997</v>
      </c>
      <c r="Z36" s="49">
        <f t="shared" si="170"/>
        <v>18.12</v>
      </c>
      <c r="AA36" s="49">
        <f t="shared" si="170"/>
        <v>18.12</v>
      </c>
      <c r="AB36" s="49">
        <f t="shared" si="170"/>
        <v>18.119999999999997</v>
      </c>
      <c r="AC36" s="49">
        <f t="shared" si="170"/>
        <v>18.77</v>
      </c>
      <c r="AD36" s="47"/>
      <c r="AE36" s="49">
        <f>AE34 /12/AE35</f>
        <v>19.43</v>
      </c>
      <c r="AF36" s="49">
        <f>AF34 /12/AF35</f>
        <v>19.43</v>
      </c>
      <c r="AG36" s="47"/>
      <c r="AH36" s="49">
        <f>AH34 /12/AH35</f>
        <v>23.790000000000003</v>
      </c>
      <c r="AI36" s="47"/>
      <c r="AJ36" s="49">
        <f>AJ34 /12/AJ35</f>
        <v>26.389999999999997</v>
      </c>
      <c r="AK36" s="49">
        <f>AK34 /12/AK35</f>
        <v>26.39</v>
      </c>
      <c r="AL36" s="49">
        <f>AL34 /12/AL35</f>
        <v>26.390000000000004</v>
      </c>
      <c r="AM36" s="47"/>
      <c r="AN36" s="49">
        <f>AN34 /12/AN35</f>
        <v>25.06</v>
      </c>
      <c r="AO36" s="53" t="s">
        <v>28</v>
      </c>
      <c r="AP36" s="87"/>
      <c r="AQ36" s="87"/>
      <c r="AR36" s="49">
        <f t="shared" ref="AR36" si="171">AR34 /12/AR35</f>
        <v>23.48</v>
      </c>
      <c r="AS36" s="35" t="s">
        <v>87</v>
      </c>
      <c r="AT36" s="74"/>
      <c r="AU36" s="34"/>
      <c r="AV36" s="10">
        <f t="shared" ref="AV36:BL36" si="172">AV34 /12/AV35</f>
        <v>22.959999999999997</v>
      </c>
      <c r="AW36" s="10">
        <f t="shared" si="172"/>
        <v>22.959999999999994</v>
      </c>
      <c r="AX36" s="10">
        <f t="shared" si="172"/>
        <v>22.959999999999997</v>
      </c>
      <c r="AY36" s="10">
        <f t="shared" si="172"/>
        <v>22.959999999999997</v>
      </c>
      <c r="AZ36" s="10">
        <f t="shared" si="172"/>
        <v>22.959999999999997</v>
      </c>
      <c r="BA36" s="10">
        <f t="shared" si="172"/>
        <v>22.96</v>
      </c>
      <c r="BB36" s="10">
        <f t="shared" si="172"/>
        <v>22.96</v>
      </c>
      <c r="BC36" s="10">
        <f t="shared" si="172"/>
        <v>22.309999999999995</v>
      </c>
      <c r="BD36" s="10">
        <f t="shared" si="172"/>
        <v>22.31</v>
      </c>
      <c r="BE36" s="10">
        <f t="shared" si="172"/>
        <v>22.96</v>
      </c>
      <c r="BF36" s="10">
        <f t="shared" si="172"/>
        <v>22.96</v>
      </c>
      <c r="BG36" s="10">
        <f t="shared" si="172"/>
        <v>22.959999999999994</v>
      </c>
      <c r="BH36" s="10">
        <f t="shared" si="172"/>
        <v>22.959999999999997</v>
      </c>
      <c r="BI36" s="10">
        <f t="shared" si="172"/>
        <v>22.96</v>
      </c>
      <c r="BJ36" s="10">
        <f t="shared" si="172"/>
        <v>22.959999999999997</v>
      </c>
      <c r="BK36" s="10">
        <f t="shared" si="172"/>
        <v>22.310000000000002</v>
      </c>
      <c r="BL36" s="10">
        <f t="shared" si="172"/>
        <v>22.959999999999994</v>
      </c>
      <c r="BM36" s="34"/>
      <c r="BN36" s="10">
        <f>BN34 /12/BN35</f>
        <v>29.9</v>
      </c>
      <c r="BO36" s="34"/>
      <c r="BP36" s="10">
        <f>BP34 /12/BP35</f>
        <v>32.25</v>
      </c>
      <c r="BQ36" s="35" t="s">
        <v>28</v>
      </c>
      <c r="BR36" s="34"/>
      <c r="BS36" s="47"/>
      <c r="BT36" s="49">
        <f t="shared" ref="BT36" si="173">BT34/12/BT35</f>
        <v>16.940000000000001</v>
      </c>
      <c r="BU36" s="49">
        <f t="shared" ref="BU36:CB36" si="174">BU34/12/BU35</f>
        <v>16.29</v>
      </c>
      <c r="BV36" s="49">
        <f t="shared" si="174"/>
        <v>16.940000000000001</v>
      </c>
      <c r="BW36" s="49">
        <f t="shared" si="174"/>
        <v>16.940000000000001</v>
      </c>
      <c r="BX36" s="47"/>
      <c r="BY36" s="49">
        <f>BY34/12/BY35</f>
        <v>23.229999999999997</v>
      </c>
      <c r="BZ36" s="47"/>
      <c r="CA36" s="49">
        <f t="shared" si="174"/>
        <v>22.610000000000003</v>
      </c>
      <c r="CB36" s="49">
        <f t="shared" si="174"/>
        <v>22.609999999999996</v>
      </c>
      <c r="CC36" s="35" t="s">
        <v>28</v>
      </c>
      <c r="CD36" s="34"/>
      <c r="CE36" s="47"/>
      <c r="CF36" s="49">
        <f t="shared" ref="CF36" si="175">CF34/12/CF35</f>
        <v>15.66</v>
      </c>
      <c r="CG36" s="122"/>
      <c r="CH36" s="122"/>
      <c r="CI36" s="122"/>
      <c r="CJ36" s="122"/>
      <c r="CK36" s="122"/>
    </row>
    <row r="37" spans="1:136" s="2" customFormat="1" ht="15.75" customHeight="1" x14ac:dyDescent="0.2">
      <c r="A37" s="13"/>
      <c r="B37" s="16"/>
      <c r="C37" s="16"/>
      <c r="D37" s="14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98"/>
      <c r="AP37" s="98"/>
      <c r="AQ37" s="98"/>
      <c r="AR37" s="78"/>
      <c r="BU37" s="7"/>
      <c r="BV37" s="78"/>
      <c r="BW37" s="16"/>
      <c r="BY37" s="16"/>
      <c r="CA37" s="16"/>
      <c r="CB37" s="78"/>
      <c r="CC37" s="25"/>
      <c r="CD37" s="25"/>
      <c r="CE37" s="78"/>
      <c r="CF37" s="113"/>
      <c r="CG37" s="123"/>
      <c r="CH37" s="124"/>
      <c r="CI37" s="124"/>
      <c r="CJ37" s="124"/>
      <c r="CK37" s="124"/>
      <c r="CL37" s="16"/>
      <c r="CM37" s="16"/>
      <c r="CN37" s="16"/>
      <c r="CO37" s="16"/>
      <c r="CP37" s="16"/>
      <c r="CQ37" s="16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1"/>
      <c r="DM37" s="1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43"/>
      <c r="DZ37" s="43"/>
      <c r="EA37" s="43"/>
      <c r="EB37" s="43"/>
    </row>
    <row r="38" spans="1:136" s="2" customFormat="1" ht="25.5" customHeight="1" x14ac:dyDescent="0.2">
      <c r="A38" s="13"/>
      <c r="B38" s="16"/>
      <c r="C38" s="16"/>
      <c r="D38" s="14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98"/>
      <c r="AP38" s="98"/>
      <c r="AQ38" s="98"/>
      <c r="AR38" s="78"/>
      <c r="BN38" s="105"/>
      <c r="BU38" s="7"/>
      <c r="BV38" s="78"/>
      <c r="BW38" s="16"/>
      <c r="BY38" s="16"/>
      <c r="CA38" s="16"/>
      <c r="CB38" s="78"/>
      <c r="CC38" s="25"/>
      <c r="CD38" s="25"/>
      <c r="CE38" s="78"/>
      <c r="CF38" s="113"/>
      <c r="CG38" s="123"/>
      <c r="CH38" s="124"/>
      <c r="CI38" s="124"/>
      <c r="CJ38" s="124"/>
      <c r="CK38" s="124"/>
      <c r="CL38" s="16"/>
      <c r="CM38" s="16"/>
      <c r="CN38" s="16"/>
      <c r="CO38" s="16"/>
      <c r="CP38" s="16"/>
      <c r="CQ38" s="16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1"/>
      <c r="DM38" s="1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</row>
    <row r="39" spans="1:136" s="1" customFormat="1" ht="12.75" customHeight="1" x14ac:dyDescent="0.2">
      <c r="A39" s="6"/>
      <c r="B39" s="15"/>
      <c r="C39" s="2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98"/>
      <c r="AP39" s="98"/>
      <c r="AQ39" s="9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"/>
      <c r="BT39" s="7"/>
      <c r="BU39" s="7"/>
      <c r="BV39" s="78"/>
      <c r="BW39" s="28"/>
      <c r="BX39" s="7"/>
      <c r="BY39" s="28"/>
      <c r="BZ39" s="7"/>
      <c r="CA39" s="28"/>
      <c r="CB39" s="78"/>
      <c r="CC39" s="25"/>
      <c r="CD39" s="25"/>
      <c r="CE39" s="78"/>
      <c r="CF39" s="113"/>
      <c r="CG39" s="123"/>
      <c r="CH39" s="125"/>
      <c r="CI39" s="125"/>
      <c r="CJ39" s="125"/>
      <c r="CK39" s="125"/>
      <c r="CL39" s="15"/>
      <c r="CM39" s="15"/>
      <c r="CN39" s="15"/>
      <c r="CO39" s="15"/>
      <c r="CP39" s="15"/>
      <c r="CQ39" s="15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F39" s="45"/>
    </row>
    <row r="40" spans="1:136" s="1" customFormat="1" ht="12.75" hidden="1" customHeight="1" x14ac:dyDescent="0.2">
      <c r="A40" s="6"/>
      <c r="B40" s="15"/>
      <c r="C40" s="2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98"/>
      <c r="AP40" s="98"/>
      <c r="AQ40" s="9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"/>
      <c r="BT40" s="7"/>
      <c r="BU40" s="7"/>
      <c r="BV40" s="78"/>
      <c r="BW40" s="28"/>
      <c r="BX40" s="7"/>
      <c r="BY40" s="28"/>
      <c r="BZ40" s="7"/>
      <c r="CA40" s="28"/>
      <c r="CB40" s="78"/>
      <c r="CC40" s="78"/>
      <c r="CD40" s="78"/>
      <c r="CE40" s="78"/>
      <c r="CF40" s="113"/>
      <c r="CG40" s="123"/>
      <c r="CH40" s="125"/>
      <c r="CI40" s="125"/>
      <c r="CJ40" s="125"/>
      <c r="CK40" s="125"/>
      <c r="CL40" s="15"/>
      <c r="CM40" s="15"/>
      <c r="CN40" s="15"/>
      <c r="CO40" s="15"/>
      <c r="CP40" s="15"/>
      <c r="CQ40" s="15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F40" s="45"/>
    </row>
    <row r="41" spans="1:136" s="1" customFormat="1" x14ac:dyDescent="0.2">
      <c r="A41" s="6"/>
      <c r="B41" s="15"/>
      <c r="C41" s="2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98"/>
      <c r="AP41" s="98"/>
      <c r="AQ41" s="9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"/>
      <c r="BT41" s="7"/>
      <c r="BU41" s="7"/>
      <c r="BV41" s="78"/>
      <c r="BW41" s="28"/>
      <c r="BX41" s="7"/>
      <c r="BY41" s="28"/>
      <c r="BZ41" s="7"/>
      <c r="CA41" s="28"/>
      <c r="CB41" s="78"/>
      <c r="CC41" s="78"/>
      <c r="CD41" s="78"/>
      <c r="CE41" s="78"/>
      <c r="CF41" s="113"/>
      <c r="CG41" s="123"/>
      <c r="CH41" s="125"/>
      <c r="CI41" s="125"/>
      <c r="CJ41" s="125"/>
      <c r="CK41" s="125"/>
      <c r="CL41" s="15"/>
      <c r="CM41" s="15"/>
      <c r="CN41" s="15"/>
      <c r="CO41" s="15"/>
      <c r="CP41" s="15"/>
      <c r="CQ41" s="15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F41" s="45"/>
    </row>
    <row r="42" spans="1:136" s="1" customFormat="1" x14ac:dyDescent="0.2">
      <c r="A42" s="6"/>
      <c r="B42" s="15"/>
      <c r="C42" s="2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98"/>
      <c r="AP42" s="98"/>
      <c r="AQ42" s="9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"/>
      <c r="BT42" s="7"/>
      <c r="BU42" s="7"/>
      <c r="BV42" s="78"/>
      <c r="BW42" s="28"/>
      <c r="BX42" s="7"/>
      <c r="BY42" s="28"/>
      <c r="BZ42" s="7"/>
      <c r="CA42" s="28"/>
      <c r="CB42" s="78"/>
      <c r="CC42" s="78"/>
      <c r="CD42" s="78"/>
      <c r="CE42" s="78"/>
      <c r="CF42" s="113"/>
      <c r="CG42" s="123"/>
      <c r="CH42" s="125"/>
      <c r="CI42" s="125"/>
      <c r="CJ42" s="125"/>
      <c r="CK42" s="125"/>
      <c r="CL42" s="15"/>
      <c r="CM42" s="15"/>
      <c r="CN42" s="15"/>
      <c r="CO42" s="15"/>
      <c r="CP42" s="15"/>
      <c r="CQ42" s="15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F42" s="45"/>
    </row>
    <row r="43" spans="1:136" s="1" customFormat="1" x14ac:dyDescent="0.2">
      <c r="A43" s="6" t="s">
        <v>0</v>
      </c>
      <c r="B43" s="15"/>
      <c r="C43" s="2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98"/>
      <c r="AP43" s="98"/>
      <c r="AQ43" s="9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"/>
      <c r="BT43" s="7"/>
      <c r="BU43" s="7"/>
      <c r="BV43" s="78"/>
      <c r="BW43" s="28"/>
      <c r="BX43" s="7"/>
      <c r="BY43" s="28"/>
      <c r="BZ43" s="7"/>
      <c r="CA43" s="28"/>
      <c r="CB43" s="78"/>
      <c r="CC43" s="7"/>
      <c r="CD43" s="7"/>
      <c r="CE43" s="7"/>
      <c r="CF43" s="113"/>
      <c r="CG43" s="7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F43" s="45"/>
    </row>
    <row r="44" spans="1:136" s="1" customFormat="1" x14ac:dyDescent="0.2">
      <c r="A44" s="6"/>
      <c r="B44" s="15"/>
      <c r="C44" s="2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98"/>
      <c r="AP44" s="98"/>
      <c r="AQ44" s="9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"/>
      <c r="BT44" s="7"/>
      <c r="BU44" s="7"/>
      <c r="BV44" s="78"/>
      <c r="BW44" s="28"/>
      <c r="BX44" s="7"/>
      <c r="BY44" s="28"/>
      <c r="BZ44" s="7"/>
      <c r="CA44" s="28"/>
      <c r="CB44" s="78"/>
      <c r="CC44" s="7"/>
      <c r="CD44" s="7"/>
      <c r="CE44" s="7"/>
      <c r="CF44" s="113"/>
      <c r="CG44" s="7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F44" s="45"/>
    </row>
  </sheetData>
  <mergeCells count="23">
    <mergeCell ref="BS7:BS8"/>
    <mergeCell ref="CC7:CC8"/>
    <mergeCell ref="CD7:CD8"/>
    <mergeCell ref="CE7:CE8"/>
    <mergeCell ref="BZ7:BZ8"/>
    <mergeCell ref="BX7:BX8"/>
    <mergeCell ref="P7:P8"/>
    <mergeCell ref="Q7:Q8"/>
    <mergeCell ref="A7:A8"/>
    <mergeCell ref="B7:B8"/>
    <mergeCell ref="C7:C8"/>
    <mergeCell ref="O7:O8"/>
    <mergeCell ref="BR7:BR8"/>
    <mergeCell ref="AU7:AU8"/>
    <mergeCell ref="AS7:AS8"/>
    <mergeCell ref="AT7:AT8"/>
    <mergeCell ref="BM7:BM8"/>
    <mergeCell ref="BO7:BO8"/>
    <mergeCell ref="AM7:AM8"/>
    <mergeCell ref="AI7:AI8"/>
    <mergeCell ref="AG7:AG8"/>
    <mergeCell ref="AD7:AD8"/>
    <mergeCell ref="BQ7:BQ8"/>
  </mergeCells>
  <pageMargins left="0.23622047244094491" right="0.11811023622047245" top="0.23622047244094491" bottom="0.19685039370078741" header="0.31496062992125984" footer="0.31496062992125984"/>
  <pageSetup paperSize="9" scale="29" firstPageNumber="0" fitToWidth="5" orientation="landscape" r:id="rId1"/>
  <headerFooter alignWithMargins="0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2018-01-15T08:37:30Z</dcterms:modified>
</cp:coreProperties>
</file>